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086C9283-5AB4-4B0D-B8C1-DCE010735E76}" xr6:coauthVersionLast="47" xr6:coauthVersionMax="47" xr10:uidLastSave="{00000000-0000-0000-0000-000000000000}"/>
  <bookViews>
    <workbookView xWindow="28680" yWindow="-120" windowWidth="29040" windowHeight="1599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V104" i="40"/>
  <c r="U104" i="40"/>
  <c r="T104" i="40"/>
  <c r="S104" i="40"/>
  <c r="R104" i="40"/>
  <c r="Q104" i="40"/>
  <c r="P104" i="40"/>
  <c r="O104" i="40"/>
  <c r="N104" i="40"/>
  <c r="M104" i="40"/>
  <c r="L104" i="40"/>
  <c r="K104" i="40"/>
  <c r="J104" i="40"/>
  <c r="I104" i="40"/>
  <c r="H104" i="40"/>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109" i="21"/>
  <c r="D109" i="2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12" i="18" l="1"/>
  <c r="W28" i="44" s="1"/>
  <c r="V60" i="40"/>
  <c r="V13" i="40"/>
  <c r="V52" i="40"/>
  <c r="W12" i="40"/>
  <c r="W79" i="40" s="1"/>
  <c r="V28" i="44"/>
  <c r="U49" i="18"/>
  <c r="V49" i="18" s="1"/>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C2" i="43" l="1" a="1"/>
  <c r="C2" i="43" s="1"/>
  <c r="W12" i="18"/>
  <c r="X28" i="44" s="1"/>
  <c r="W13" i="40"/>
  <c r="W60" i="40"/>
  <c r="W52" i="40"/>
  <c r="W49" i="18"/>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U49" i="9" l="1"/>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3" i="21" s="1"/>
  <c r="C41" i="18"/>
  <c r="C41" i="17"/>
  <c r="O20" i="8"/>
  <c r="D42" i="21"/>
  <c r="D113"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77" i="21"/>
  <c r="E78" i="21"/>
  <c r="E68" i="19"/>
  <c r="D84" i="19"/>
  <c r="E70" i="19"/>
  <c r="E69" i="19"/>
  <c r="F6" i="44" l="1"/>
  <c r="E102" i="40"/>
  <c r="E103" i="40" s="1"/>
  <c r="F45" i="44"/>
  <c r="K25" i="44"/>
  <c r="E110" i="21"/>
  <c r="E111" i="21" s="1"/>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G45" i="44"/>
  <c r="D91" i="19"/>
  <c r="D99" i="40"/>
  <c r="D107" i="21"/>
  <c r="D90" i="17"/>
  <c r="D90" i="18"/>
  <c r="D93" i="9"/>
  <c r="D89" i="18" s="1"/>
  <c r="E83" i="9" l="1"/>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E91" i="9"/>
  <c r="D98" i="40"/>
  <c r="D89" i="17"/>
  <c r="D90" i="19"/>
  <c r="E81" i="19" s="1"/>
  <c r="E87" i="19" s="1"/>
  <c r="D106" i="21"/>
  <c r="E89" i="19"/>
  <c r="E88" i="19"/>
  <c r="E84" i="9" l="1"/>
  <c r="E89" i="9" s="1"/>
  <c r="F71" i="40"/>
  <c r="F67" i="40" s="1"/>
  <c r="F58" i="40" s="1"/>
  <c r="F57" i="40" s="1"/>
  <c r="F71" i="21"/>
  <c r="F67" i="21" s="1"/>
  <c r="F71" i="19"/>
  <c r="F67" i="19" s="1"/>
  <c r="F58" i="19" s="1"/>
  <c r="F57" i="19" s="1"/>
  <c r="G30" i="44" s="1"/>
  <c r="F70" i="18"/>
  <c r="F66" i="18" s="1"/>
  <c r="F57" i="18" s="1"/>
  <c r="F56" i="18" s="1"/>
  <c r="G69" i="18" s="1"/>
  <c r="F66" i="9"/>
  <c r="F57" i="9" s="1"/>
  <c r="F56" i="9" s="1"/>
  <c r="E80" i="17"/>
  <c r="E85" i="17" s="1"/>
  <c r="E88" i="40"/>
  <c r="E94" i="40" s="1"/>
  <c r="G70" i="19"/>
  <c r="E80" i="18"/>
  <c r="E85" i="18" s="1"/>
  <c r="E88" i="17"/>
  <c r="E87" i="18"/>
  <c r="E96" i="40"/>
  <c r="E105" i="21"/>
  <c r="G69" i="40"/>
  <c r="F11" i="22"/>
  <c r="G70" i="40"/>
  <c r="F92" i="40"/>
  <c r="G68" i="40"/>
  <c r="G23" i="44"/>
  <c r="G69" i="17"/>
  <c r="F83" i="17"/>
  <c r="E96" i="21"/>
  <c r="E103" i="21" s="1"/>
  <c r="E90" i="9"/>
  <c r="E88" i="9" s="1"/>
  <c r="E93" i="9" s="1"/>
  <c r="G41" i="44"/>
  <c r="E95" i="40"/>
  <c r="E86" i="19"/>
  <c r="E85" i="19" s="1"/>
  <c r="E91" i="19" s="1"/>
  <c r="F109" i="21"/>
  <c r="E86" i="18" l="1"/>
  <c r="G27" i="44"/>
  <c r="F83" i="18"/>
  <c r="F79" i="18" s="1"/>
  <c r="F88" i="18" s="1"/>
  <c r="G67" i="9"/>
  <c r="G71" i="40" s="1"/>
  <c r="G67" i="40" s="1"/>
  <c r="G58" i="40" s="1"/>
  <c r="G57" i="40" s="1"/>
  <c r="G69" i="9"/>
  <c r="G68" i="9"/>
  <c r="F87" i="9"/>
  <c r="F84" i="19"/>
  <c r="F80" i="19" s="1"/>
  <c r="F89" i="19" s="1"/>
  <c r="E86" i="17"/>
  <c r="E84" i="17" s="1"/>
  <c r="F93" i="17" s="1"/>
  <c r="F94" i="17" s="1"/>
  <c r="F92" i="17" s="1"/>
  <c r="F97" i="17" s="1"/>
  <c r="E102" i="21"/>
  <c r="E101" i="21" s="1"/>
  <c r="F61" i="44"/>
  <c r="F113" i="21"/>
  <c r="G78" i="40"/>
  <c r="G77" i="40"/>
  <c r="F87" i="40"/>
  <c r="F96" i="40" s="1"/>
  <c r="F79" i="17"/>
  <c r="F87" i="17" s="1"/>
  <c r="E93" i="40"/>
  <c r="E99" i="40" s="1"/>
  <c r="F94" i="19"/>
  <c r="F95" i="19" s="1"/>
  <c r="F93" i="19" s="1"/>
  <c r="F98" i="19" s="1"/>
  <c r="F97" i="9"/>
  <c r="E94" i="9"/>
  <c r="E84" i="18"/>
  <c r="E90" i="18" s="1"/>
  <c r="E90" i="19"/>
  <c r="G77" i="9" l="1"/>
  <c r="H45" i="44"/>
  <c r="F81" i="19"/>
  <c r="F87" i="19" s="1"/>
  <c r="G76" i="9"/>
  <c r="H42" i="44" s="1"/>
  <c r="G70" i="17"/>
  <c r="G71" i="21"/>
  <c r="G70" i="18"/>
  <c r="G71" i="19"/>
  <c r="G66" i="9"/>
  <c r="G57" i="9" s="1"/>
  <c r="G56" i="9" s="1"/>
  <c r="F88" i="19"/>
  <c r="F110" i="21"/>
  <c r="F111" i="21" s="1"/>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109" i="21"/>
  <c r="G94" i="40" l="1"/>
  <c r="G95" i="40"/>
  <c r="F93" i="9"/>
  <c r="G97" i="9"/>
  <c r="G83" i="9"/>
  <c r="G91" i="9" s="1"/>
  <c r="G93" i="40" l="1"/>
  <c r="G92" i="9"/>
  <c r="G84" i="9"/>
  <c r="G90" i="9" s="1"/>
  <c r="E109" i="21"/>
  <c r="E113" i="21" s="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3" i="21"/>
  <c r="G22" i="18"/>
  <c r="G29" i="18" s="1"/>
  <c r="F101" i="2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110" i="21"/>
  <c r="G111" i="21" s="1"/>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H110" i="21"/>
  <c r="H111" i="21" s="1"/>
  <c r="H109" i="21" s="1"/>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3"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J7" i="44"/>
  <c r="I51" i="18"/>
  <c r="I59" i="18"/>
  <c r="I52" i="19"/>
  <c r="I51" i="17"/>
  <c r="I22" i="17" s="1"/>
  <c r="I59" i="17"/>
  <c r="I110" i="21"/>
  <c r="I111" i="21" s="1"/>
  <c r="I109" i="21" s="1"/>
  <c r="H106" i="21"/>
  <c r="I62" i="44" s="1"/>
  <c r="H84" i="18"/>
  <c r="I93" i="18" s="1"/>
  <c r="I94" i="18" s="1"/>
  <c r="I92" i="18" s="1"/>
  <c r="I19" i="20" l="1"/>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3"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I77" i="21"/>
  <c r="J87" i="21" s="1"/>
  <c r="J58" i="44"/>
  <c r="I84" i="18"/>
  <c r="I90" i="18" s="1"/>
  <c r="J59" i="44"/>
  <c r="N69" i="40"/>
  <c r="M83" i="40"/>
  <c r="M11" i="22"/>
  <c r="H36" i="44" s="1"/>
  <c r="M93" i="40"/>
  <c r="M99" i="40" s="1"/>
  <c r="J60" i="44" l="1"/>
  <c r="I107" i="21"/>
  <c r="J110" i="21"/>
  <c r="J111" i="21" s="1"/>
  <c r="J109" i="21" s="1"/>
  <c r="J36" i="21" s="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G26" i="20" s="1"/>
  <c r="K16" i="44"/>
  <c r="K33" i="44"/>
  <c r="N67" i="40"/>
  <c r="N58" i="40" s="1"/>
  <c r="N57" i="40" s="1"/>
  <c r="N83" i="40" s="1"/>
  <c r="N78" i="40"/>
  <c r="N95" i="40"/>
  <c r="J29" i="18"/>
  <c r="K50" i="18" s="1"/>
  <c r="J33" i="19"/>
  <c r="J32" i="18"/>
  <c r="J30" i="21" l="1"/>
  <c r="K51" i="21" s="1"/>
  <c r="J113" i="21"/>
  <c r="J33" i="21"/>
  <c r="K18" i="44" s="1"/>
  <c r="N11" i="22"/>
  <c r="O70" i="40"/>
  <c r="O69" i="40"/>
  <c r="N93" i="40"/>
  <c r="O102" i="40" s="1"/>
  <c r="O103" i="40" s="1"/>
  <c r="O101" i="40" s="1"/>
  <c r="O106" i="40" s="1"/>
  <c r="O92" i="40" s="1"/>
  <c r="J61" i="18"/>
  <c r="J67" i="18"/>
  <c r="J68" i="18"/>
  <c r="J62" i="21" l="1"/>
  <c r="J100" i="21" s="1"/>
  <c r="J95" i="21" s="1"/>
  <c r="J96" i="21" s="1"/>
  <c r="J69" i="21"/>
  <c r="J68" i="21"/>
  <c r="K10" i="44" s="1"/>
  <c r="K8" i="44"/>
  <c r="N98" i="40"/>
  <c r="N99" i="40"/>
  <c r="O36" i="40"/>
  <c r="O68" i="40" s="1"/>
  <c r="O78" i="40" s="1"/>
  <c r="J58" i="18"/>
  <c r="J83" i="18"/>
  <c r="J79" i="18" s="1"/>
  <c r="J87" i="18" s="1"/>
  <c r="O87" i="40"/>
  <c r="J66" i="18"/>
  <c r="J59" i="21" l="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K5" i="44"/>
  <c r="J21" i="20"/>
  <c r="J88" i="21"/>
  <c r="J23" i="20"/>
  <c r="K70" i="21"/>
  <c r="J101" i="21"/>
  <c r="J106" i="21" s="1"/>
  <c r="K62" i="44" s="1"/>
  <c r="O11" i="22"/>
  <c r="P69" i="40"/>
  <c r="P70" i="40"/>
  <c r="K60" i="44"/>
  <c r="K59" i="44"/>
  <c r="K69" i="18"/>
  <c r="K27" i="44"/>
  <c r="O94" i="40"/>
  <c r="O93" i="40" s="1"/>
  <c r="O99" i="40" s="1"/>
  <c r="J86" i="18"/>
  <c r="J84" i="18" s="1"/>
  <c r="J90" i="18" s="1"/>
  <c r="J85" i="21" l="1"/>
  <c r="J86" i="21"/>
  <c r="J107" i="21"/>
  <c r="K110" i="21"/>
  <c r="K111" i="21" s="1"/>
  <c r="K109" i="21" s="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3" i="21" l="1"/>
  <c r="K100" i="21" s="1"/>
  <c r="K33" i="21"/>
  <c r="K68" i="21" s="1"/>
  <c r="K77" i="21" s="1"/>
  <c r="L16" i="44"/>
  <c r="K95" i="21"/>
  <c r="K96" i="21" s="1"/>
  <c r="L18" i="44"/>
  <c r="K66" i="18"/>
  <c r="K57" i="18" s="1"/>
  <c r="K56" i="18" s="1"/>
  <c r="K86" i="18"/>
  <c r="K84" i="18" s="1"/>
  <c r="K88" i="18"/>
  <c r="K87" i="18"/>
  <c r="Q78" i="40"/>
  <c r="Q77" i="40"/>
  <c r="Q67" i="40"/>
  <c r="Q58" i="40" s="1"/>
  <c r="Q57" i="40" s="1"/>
  <c r="Q83" i="40" s="1"/>
  <c r="Q87" i="40"/>
  <c r="Q88" i="40" s="1"/>
  <c r="K105" i="21"/>
  <c r="K104" i="21"/>
  <c r="L61" i="44" s="1"/>
  <c r="K17" i="22"/>
  <c r="K15" i="22"/>
  <c r="K14" i="22"/>
  <c r="K18" i="22"/>
  <c r="K102" i="21" l="1"/>
  <c r="K103" i="21"/>
  <c r="K101" i="21" s="1"/>
  <c r="K69" i="21"/>
  <c r="L87" i="21"/>
  <c r="K21" i="20"/>
  <c r="K67" i="21"/>
  <c r="K58" i="21" s="1"/>
  <c r="K57" i="21" s="1"/>
  <c r="K85" i="21" s="1"/>
  <c r="L69" i="18"/>
  <c r="L27" i="44"/>
  <c r="L6" i="44"/>
  <c r="K78" i="21"/>
  <c r="K88" i="21" s="1"/>
  <c r="L10" i="44"/>
  <c r="K75" i="18"/>
  <c r="K89" i="18"/>
  <c r="K90" i="18"/>
  <c r="L93" i="18"/>
  <c r="L94" i="18" s="1"/>
  <c r="L92" i="18" s="1"/>
  <c r="L35" i="18" s="1"/>
  <c r="Q95" i="40"/>
  <c r="Q97" i="40"/>
  <c r="Q94" i="40"/>
  <c r="Q11" i="22"/>
  <c r="R69" i="40"/>
  <c r="R70" i="40"/>
  <c r="Q96" i="40"/>
  <c r="K107" i="21" l="1"/>
  <c r="L58" i="44"/>
  <c r="L60" i="44"/>
  <c r="L59" i="44"/>
  <c r="K86" i="21"/>
  <c r="K83" i="21"/>
  <c r="K23" i="20"/>
  <c r="L70" i="21"/>
  <c r="K84" i="21"/>
  <c r="L5" i="44"/>
  <c r="K22" i="20"/>
  <c r="K106" i="21"/>
  <c r="L62" i="44" s="1"/>
  <c r="L110" i="21"/>
  <c r="L111" i="21" s="1"/>
  <c r="L109" i="21" s="1"/>
  <c r="Q93" i="40"/>
  <c r="R102" i="40" s="1"/>
  <c r="R103" i="40" s="1"/>
  <c r="R101" i="40" s="1"/>
  <c r="L51" i="18"/>
  <c r="Q99" i="40" l="1"/>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R94" i="40"/>
  <c r="R93" i="40" s="1"/>
  <c r="R96" i="40"/>
  <c r="R97" i="40"/>
  <c r="L97" i="18"/>
  <c r="L83" i="18" s="1"/>
  <c r="R11" i="22"/>
  <c r="S70" i="40"/>
  <c r="S69" i="40"/>
  <c r="L32" i="18"/>
  <c r="L68" i="18" s="1"/>
  <c r="M50" i="17"/>
  <c r="L30" i="19"/>
  <c r="L23" i="19"/>
  <c r="L13" i="21" l="1"/>
  <c r="L19" i="20"/>
  <c r="M7" i="44"/>
  <c r="L52" i="2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3"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110" i="21"/>
  <c r="M111" i="21" s="1"/>
  <c r="M109" i="21" s="1"/>
  <c r="M36" i="21" s="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50" i="21" l="1"/>
  <c r="N60" i="21"/>
  <c r="G25" i="20"/>
  <c r="N52" i="21"/>
  <c r="O7" i="44"/>
  <c r="N13" i="21"/>
  <c r="M23" i="21"/>
  <c r="M24" i="21" s="1"/>
  <c r="O12" i="21"/>
  <c r="O79" i="21" s="1"/>
  <c r="U67" i="40"/>
  <c r="U58" i="40" s="1"/>
  <c r="U57" i="40" s="1"/>
  <c r="U83" i="40" s="1"/>
  <c r="U78" i="40"/>
  <c r="Q33" i="44"/>
  <c r="U50" i="19"/>
  <c r="U49" i="17"/>
  <c r="N16" i="44"/>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M113" i="21" l="1"/>
  <c r="O60" i="21"/>
  <c r="O52" i="21"/>
  <c r="M33" i="21"/>
  <c r="M68" i="21" s="1"/>
  <c r="P7" i="44"/>
  <c r="P12" i="21"/>
  <c r="P79" i="21" s="1"/>
  <c r="M30" i="21"/>
  <c r="O51" i="21" s="1"/>
  <c r="O13" i="21"/>
  <c r="O50" i="21"/>
  <c r="P50" i="21" s="1"/>
  <c r="U11" i="22"/>
  <c r="V70" i="40"/>
  <c r="V69" i="40"/>
  <c r="R33" i="44"/>
  <c r="V49" i="17"/>
  <c r="V50" i="19"/>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N18" i="44" l="1"/>
  <c r="M69" i="21"/>
  <c r="N51" i="21"/>
  <c r="N23" i="21" s="1"/>
  <c r="M62" i="21"/>
  <c r="M59" i="21" s="1"/>
  <c r="M77" i="21" s="1"/>
  <c r="N87" i="21" s="1"/>
  <c r="Q12" i="21"/>
  <c r="Q79" i="21" s="1"/>
  <c r="Q7" i="44"/>
  <c r="P13" i="21"/>
  <c r="O23" i="21"/>
  <c r="O24" i="21" s="1"/>
  <c r="M67" i="21"/>
  <c r="N30" i="21"/>
  <c r="N62" i="21" s="1"/>
  <c r="O8" i="44" s="1"/>
  <c r="N24" i="21"/>
  <c r="S33" i="44"/>
  <c r="U33" i="44"/>
  <c r="T33" i="44"/>
  <c r="W50" i="19"/>
  <c r="W49" i="17"/>
  <c r="M78" i="21"/>
  <c r="M88" i="21" s="1"/>
  <c r="N10" i="44"/>
  <c r="Q13" i="21"/>
  <c r="M100"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R7" i="44" l="1"/>
  <c r="Q50" i="21"/>
  <c r="N8" i="44"/>
  <c r="R12" i="21"/>
  <c r="R79" i="21" s="1"/>
  <c r="O30" i="21"/>
  <c r="O16" i="44"/>
  <c r="N33" i="21"/>
  <c r="O18" i="44" s="1"/>
  <c r="N59" i="21"/>
  <c r="M21" i="20"/>
  <c r="M58" i="21"/>
  <c r="M57" i="21" s="1"/>
  <c r="S7" i="44"/>
  <c r="M95" i="21"/>
  <c r="M96" i="21" s="1"/>
  <c r="M103" i="21" s="1"/>
  <c r="S12" i="21"/>
  <c r="S79" i="21" s="1"/>
  <c r="R13" i="2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O62" i="21"/>
  <c r="P51" i="21"/>
  <c r="O33" i="21"/>
  <c r="P18" i="44" s="1"/>
  <c r="R50" i="21" l="1"/>
  <c r="T12" i="21"/>
  <c r="T79" i="21" s="1"/>
  <c r="M83" i="21"/>
  <c r="M85" i="21"/>
  <c r="M86" i="21"/>
  <c r="N70" i="21"/>
  <c r="M104" i="21"/>
  <c r="M105" i="21"/>
  <c r="W33" i="44"/>
  <c r="V33" i="44"/>
  <c r="X33" i="44"/>
  <c r="S50" i="21"/>
  <c r="N5" i="44"/>
  <c r="M84" i="21"/>
  <c r="M23" i="20"/>
  <c r="M102" i="21"/>
  <c r="N69" i="21"/>
  <c r="S13" i="21"/>
  <c r="T7" i="44"/>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M12" i="20" l="1"/>
  <c r="L12" i="20"/>
  <c r="N61" i="44"/>
  <c r="U7" i="44"/>
  <c r="T13" i="21"/>
  <c r="U12" i="21"/>
  <c r="U79" i="21" s="1"/>
  <c r="T50" i="21"/>
  <c r="M101" i="2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0" i="21"/>
  <c r="N111" i="21" s="1"/>
  <c r="N109" i="21" s="1"/>
  <c r="N113" i="21" s="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P59" i="21"/>
  <c r="Q8" i="44"/>
  <c r="P93" i="18"/>
  <c r="P94" i="18" s="1"/>
  <c r="P92" i="18" s="1"/>
  <c r="P97" i="18" s="1"/>
  <c r="W98" i="40"/>
  <c r="O90" i="18"/>
  <c r="O89" i="18"/>
  <c r="P32" i="18"/>
  <c r="P61" i="18"/>
  <c r="P58" i="18" s="1"/>
  <c r="Q50" i="18"/>
  <c r="O59" i="44" l="1"/>
  <c r="O58" i="44"/>
  <c r="O60" i="44"/>
  <c r="N106" i="21"/>
  <c r="O62" i="44" s="1"/>
  <c r="O110" i="21"/>
  <c r="O111" i="21" s="1"/>
  <c r="O109" i="21" s="1"/>
  <c r="N107" i="21"/>
  <c r="P35" i="18"/>
  <c r="P67" i="18" s="1"/>
  <c r="P83" i="18"/>
  <c r="P68" i="18"/>
  <c r="O36" i="21" l="1"/>
  <c r="O113"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0" i="21"/>
  <c r="P111" i="21" s="1"/>
  <c r="P109" i="21" s="1"/>
  <c r="P113" i="21" s="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S16" i="44"/>
  <c r="R35" i="18"/>
  <c r="Q17" i="22"/>
  <c r="Q14" i="22"/>
  <c r="H28" i="22"/>
  <c r="Q16" i="22"/>
  <c r="H27" i="22"/>
  <c r="Q18" i="22"/>
  <c r="Q15" i="22"/>
  <c r="H29" i="22"/>
  <c r="H22" i="22"/>
  <c r="H31" i="22"/>
  <c r="H30" i="22"/>
  <c r="R62" i="21"/>
  <c r="S51" i="21"/>
  <c r="R29" i="18"/>
  <c r="R23" i="18"/>
  <c r="R97" i="18" s="1"/>
  <c r="R33" i="21"/>
  <c r="S18" i="44" s="1"/>
  <c r="Q60" i="44" l="1"/>
  <c r="Q58" i="44"/>
  <c r="Q59" i="44"/>
  <c r="Q110" i="21"/>
  <c r="Q111" i="21" s="1"/>
  <c r="Q109" i="21" s="1"/>
  <c r="Q113" i="21" s="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89" i="18"/>
  <c r="S93" i="18"/>
  <c r="S94" i="18" s="1"/>
  <c r="S92" i="18" s="1"/>
  <c r="S30" i="21"/>
  <c r="S24" i="21"/>
  <c r="S22" i="18"/>
  <c r="T36" i="44" l="1"/>
  <c r="W36" i="44"/>
  <c r="R59" i="44"/>
  <c r="R58" i="44"/>
  <c r="Q36" i="44" a="1"/>
  <c r="Q36" i="44" s="1"/>
  <c r="R60" i="44"/>
  <c r="R110" i="21"/>
  <c r="R111" i="21" s="1"/>
  <c r="R109" i="21" s="1"/>
  <c r="Q106" i="21"/>
  <c r="R62" i="44" s="1"/>
  <c r="Q107" i="21"/>
  <c r="T16" i="44"/>
  <c r="S35" i="18"/>
  <c r="S62" i="21"/>
  <c r="T51" i="21"/>
  <c r="S29" i="18"/>
  <c r="S23" i="18"/>
  <c r="S97" i="18" s="1"/>
  <c r="S33" i="21"/>
  <c r="T18" i="44" s="1"/>
  <c r="F36" i="44" l="1"/>
  <c r="R113"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84" i="18"/>
  <c r="S90" i="18" s="1"/>
  <c r="T22" i="18"/>
  <c r="T24" i="21"/>
  <c r="T30" i="21"/>
  <c r="R107" i="21" l="1"/>
  <c r="S58" i="44"/>
  <c r="S59" i="44"/>
  <c r="R106" i="21"/>
  <c r="S62" i="44" s="1"/>
  <c r="S110" i="21"/>
  <c r="S111" i="21" s="1"/>
  <c r="S109" i="21" s="1"/>
  <c r="S36" i="21" s="1"/>
  <c r="S89" i="18"/>
  <c r="T93" i="18"/>
  <c r="T94" i="18" s="1"/>
  <c r="T92" i="18" s="1"/>
  <c r="T35" i="18" s="1"/>
  <c r="U16" i="44"/>
  <c r="T62" i="21"/>
  <c r="U51" i="21"/>
  <c r="T33" i="21"/>
  <c r="T29" i="18"/>
  <c r="T23" i="18"/>
  <c r="S90" i="21" l="1"/>
  <c r="S91" i="21" s="1"/>
  <c r="S68" i="21"/>
  <c r="S67" i="21" s="1"/>
  <c r="S58" i="21" s="1"/>
  <c r="S57" i="21" s="1"/>
  <c r="T69" i="21" s="1"/>
  <c r="T13" i="44"/>
  <c r="S113"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T58" i="44" s="1"/>
  <c r="S105" i="21"/>
  <c r="S104" i="21"/>
  <c r="T61" i="44" s="1"/>
  <c r="T60" i="44"/>
  <c r="U27" i="44"/>
  <c r="T75" i="18"/>
  <c r="U69" i="18"/>
  <c r="U60" i="21"/>
  <c r="U52" i="21"/>
  <c r="T88" i="18"/>
  <c r="T85" i="18"/>
  <c r="T87" i="18"/>
  <c r="T86" i="18"/>
  <c r="T59" i="44" l="1"/>
  <c r="S107" i="21"/>
  <c r="T110" i="21"/>
  <c r="T111" i="21" s="1"/>
  <c r="T109" i="21" s="1"/>
  <c r="T62" i="44"/>
  <c r="S106" i="21"/>
  <c r="T84" i="18"/>
  <c r="T90" i="18" s="1"/>
  <c r="U59" i="18"/>
  <c r="U51" i="18"/>
  <c r="U23" i="21"/>
  <c r="T113" i="21" l="1"/>
  <c r="T100" i="21" s="1"/>
  <c r="T95" i="21" s="1"/>
  <c r="T96" i="21" s="1"/>
  <c r="T36" i="21"/>
  <c r="U13" i="44"/>
  <c r="T89" i="18"/>
  <c r="U93" i="18"/>
  <c r="U94" i="18" s="1"/>
  <c r="U92" i="18" s="1"/>
  <c r="U30" i="21"/>
  <c r="U24" i="21"/>
  <c r="U22" i="18"/>
  <c r="T68" i="21" l="1"/>
  <c r="T67" i="21" s="1"/>
  <c r="T58" i="21" s="1"/>
  <c r="T57" i="21" s="1"/>
  <c r="T90" i="21"/>
  <c r="T91" i="21" s="1"/>
  <c r="T103" i="21"/>
  <c r="T104" i="21"/>
  <c r="U61" i="44" s="1"/>
  <c r="T102" i="21"/>
  <c r="T105" i="21"/>
  <c r="U10" i="44"/>
  <c r="V16" i="44"/>
  <c r="U35" i="18"/>
  <c r="U62" i="21"/>
  <c r="V51" i="21"/>
  <c r="U23" i="18"/>
  <c r="U97" i="18" s="1"/>
  <c r="U29" i="18"/>
  <c r="U33" i="21"/>
  <c r="T77" i="21" l="1"/>
  <c r="U87" i="21" s="1"/>
  <c r="T78" i="21"/>
  <c r="T88" i="21" s="1"/>
  <c r="T101" i="21"/>
  <c r="T106" i="21" s="1"/>
  <c r="U62" i="44" s="1"/>
  <c r="U6" i="44"/>
  <c r="U60" i="44"/>
  <c r="T86" i="21"/>
  <c r="T85" i="21"/>
  <c r="T84" i="21"/>
  <c r="U70" i="21"/>
  <c r="T83" i="21"/>
  <c r="U5" i="44"/>
  <c r="V18" i="44"/>
  <c r="U59" i="21"/>
  <c r="V8" i="44"/>
  <c r="U69" i="21"/>
  <c r="U61" i="18"/>
  <c r="U58" i="18" s="1"/>
  <c r="V50" i="18"/>
  <c r="U32" i="18"/>
  <c r="U67" i="18" s="1"/>
  <c r="U110" i="21" l="1"/>
  <c r="U111" i="21" s="1"/>
  <c r="U109" i="21" s="1"/>
  <c r="U36" i="21" s="1"/>
  <c r="T107" i="21"/>
  <c r="U59" i="44"/>
  <c r="U58" i="44"/>
  <c r="U83" i="18"/>
  <c r="U79" i="18" s="1"/>
  <c r="U80" i="18" s="1"/>
  <c r="U68" i="18"/>
  <c r="U66" i="18" s="1"/>
  <c r="U57" i="18" s="1"/>
  <c r="U56" i="18" s="1"/>
  <c r="V27" i="44" s="1"/>
  <c r="U113" i="21" l="1"/>
  <c r="U100" i="21" s="1"/>
  <c r="U95" i="21" s="1"/>
  <c r="U96" i="21" s="1"/>
  <c r="U102" i="21" s="1"/>
  <c r="V13" i="44"/>
  <c r="U90" i="21"/>
  <c r="U91" i="21" s="1"/>
  <c r="U68" i="21"/>
  <c r="U103" i="21"/>
  <c r="U101" i="21" s="1"/>
  <c r="V59" i="44" s="1"/>
  <c r="U105" i="21"/>
  <c r="U104" i="21"/>
  <c r="V69" i="18"/>
  <c r="U75" i="18"/>
  <c r="U87" i="18"/>
  <c r="U88" i="18"/>
  <c r="U86" i="18"/>
  <c r="U85" i="18"/>
  <c r="V52" i="21"/>
  <c r="V60" i="21"/>
  <c r="V58" i="44" l="1"/>
  <c r="V61" i="44"/>
  <c r="V10" i="44"/>
  <c r="U78" i="21"/>
  <c r="U77" i="21"/>
  <c r="V87" i="21" s="1"/>
  <c r="U67" i="21"/>
  <c r="U58" i="21" s="1"/>
  <c r="U57" i="21" s="1"/>
  <c r="V60" i="44"/>
  <c r="U84" i="18"/>
  <c r="V93" i="18" s="1"/>
  <c r="V94" i="18" s="1"/>
  <c r="V92" i="18" s="1"/>
  <c r="V110" i="21"/>
  <c r="V111" i="21" s="1"/>
  <c r="U107" i="21"/>
  <c r="V23" i="21"/>
  <c r="U106" i="21"/>
  <c r="V62" i="44" s="1"/>
  <c r="V51" i="18"/>
  <c r="V59" i="18"/>
  <c r="V70" i="21" l="1"/>
  <c r="U85" i="21"/>
  <c r="U86" i="21"/>
  <c r="U83" i="21"/>
  <c r="V5" i="44"/>
  <c r="U84" i="21"/>
  <c r="V6" i="44"/>
  <c r="U88" i="21"/>
  <c r="V109" i="21"/>
  <c r="U90" i="18"/>
  <c r="U89" i="18"/>
  <c r="V22" i="18"/>
  <c r="V24" i="21"/>
  <c r="V30" i="21"/>
  <c r="V35" i="18"/>
  <c r="V36" i="21" l="1"/>
  <c r="W16" i="44"/>
  <c r="V113" i="21"/>
  <c r="V62" i="21"/>
  <c r="W51" i="21"/>
  <c r="V33" i="21"/>
  <c r="V23" i="18"/>
  <c r="V97" i="18" s="1"/>
  <c r="V29" i="18"/>
  <c r="W13" i="44" l="1"/>
  <c r="V90" i="21"/>
  <c r="V91" i="21" s="1"/>
  <c r="V68" i="21"/>
  <c r="W10" i="44" s="1"/>
  <c r="W18" i="44"/>
  <c r="V59" i="21"/>
  <c r="W8" i="44"/>
  <c r="V100" i="21"/>
  <c r="V61" i="18"/>
  <c r="V58" i="18" s="1"/>
  <c r="W50" i="18"/>
  <c r="V69" i="21"/>
  <c r="V32" i="18"/>
  <c r="V67" i="18" s="1"/>
  <c r="V67" i="21" l="1"/>
  <c r="V78" i="21"/>
  <c r="V88" i="21" s="1"/>
  <c r="V77" i="21"/>
  <c r="W87" i="21" s="1"/>
  <c r="V58" i="21"/>
  <c r="V57" i="21" s="1"/>
  <c r="W5" i="44" s="1"/>
  <c r="V95" i="21"/>
  <c r="V96" i="21" s="1"/>
  <c r="V103" i="21" s="1"/>
  <c r="V83" i="18"/>
  <c r="V79" i="18" s="1"/>
  <c r="V80" i="18" s="1"/>
  <c r="V68" i="18"/>
  <c r="V66" i="18" s="1"/>
  <c r="V57" i="18" s="1"/>
  <c r="V56" i="18" s="1"/>
  <c r="W27" i="44" s="1"/>
  <c r="V85" i="21" l="1"/>
  <c r="V86" i="21"/>
  <c r="V83" i="21"/>
  <c r="V84" i="21"/>
  <c r="W6" i="44"/>
  <c r="W70" i="21"/>
  <c r="V104" i="21"/>
  <c r="V105" i="21"/>
  <c r="V102" i="21"/>
  <c r="V87" i="18"/>
  <c r="V86" i="18"/>
  <c r="V88" i="18"/>
  <c r="V75" i="18"/>
  <c r="W69" i="18"/>
  <c r="W60" i="21"/>
  <c r="W52" i="21"/>
  <c r="V85" i="18"/>
  <c r="W61" i="44" l="1"/>
  <c r="V101" i="21"/>
  <c r="W23" i="21"/>
  <c r="W30" i="21" s="1"/>
  <c r="W62" i="21" s="1"/>
  <c r="X8" i="44" s="1"/>
  <c r="V84" i="18"/>
  <c r="W93" i="18" s="1"/>
  <c r="W94" i="18" s="1"/>
  <c r="W92" i="18" s="1"/>
  <c r="W59" i="18"/>
  <c r="W51" i="18"/>
  <c r="V106" i="21" l="1"/>
  <c r="W62" i="44" s="1"/>
  <c r="W58" i="44"/>
  <c r="W110" i="21"/>
  <c r="W111" i="21" s="1"/>
  <c r="W109" i="21" s="1"/>
  <c r="W60" i="44"/>
  <c r="W59" i="44"/>
  <c r="V107" i="21"/>
  <c r="W24" i="21"/>
  <c r="W22" i="18"/>
  <c r="W23" i="18" s="1"/>
  <c r="W97" i="18" s="1"/>
  <c r="V89" i="18"/>
  <c r="V90" i="18"/>
  <c r="W59" i="21"/>
  <c r="W35" i="18"/>
  <c r="W36" i="21" l="1"/>
  <c r="X16" i="44"/>
  <c r="W113"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8" i="9"/>
  <c r="N69" i="9" l="1"/>
  <c r="N41" i="44"/>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<sst xmlns="http://schemas.openxmlformats.org/spreadsheetml/2006/main" count="815" uniqueCount="296">
  <si>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</si>
  <si>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</si>
  <si>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</si>
  <si>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</si>
  <si>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</si>
  <si>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</si>
  <si>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</si>
  <si>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</si>
  <si>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</si>
  <si>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</si>
  <si>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</si>
  <si>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</si>
  <si>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</si>
  <si>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</si>
  <si>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</si>
  <si>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</si>
  <si>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</si>
  <si>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</si>
  <si>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</si>
  <si>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</si>
  <si>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</si>
  <si>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</si>
  <si>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</si>
  <si>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</si>
  <si>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</si>
  <si>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</si>
  <si>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</si>
  <si>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</si>
  <si>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</si>
  <si>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</si>
  <si>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</si>
  <si>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</si>
  <si>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</si>
  <si>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</si>
  <si>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</si>
  <si>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</si>
  <si>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</si>
  <si>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</si>
  <si>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</si>
  <si>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</si>
  <si>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</si>
  <si>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</si>
  <si>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</si>
  <si>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</si>
  <si>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</si>
  <si>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</si>
  <si>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</si>
  <si>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</si>
  <si>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</si>
  <si>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</si>
  <si>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</si>
  <si>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</si>
  <si>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</si>
  <si>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</si>
  <si>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</si>
  <si>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</si>
  <si>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</si>
  <si>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</si>
  <si>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</si>
  <si>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</si>
  <si>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</si>
  <si>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</si>
  <si>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</si>
  <si>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</si>
  <si>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</si>
  <si>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</si>
  <si>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</si>
  <si>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</si>
  <si>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</si>
  <si>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</si>
  <si>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</si>
  <si>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</si>
  <si>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</si>
  <si>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</si>
  <si>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</si>
  <si>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</si>
  <si>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</si>
  <si>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</si>
  <si>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</si>
  <si>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</si>
  <si>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</si>
  <si>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</si>
  <si>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</si>
  <si>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</si>
  <si>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</si>
  <si>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</si>
  <si>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</si>
  <si>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</si>
  <si>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</si>
  <si>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</si>
  <si>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</si>
  <si>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</si>
  <si>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</si>
  <si>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</si>
  <si>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</si>
  <si>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</si>
  <si>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</si>
  <si>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</si>
  <si>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</si>
  <si>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</si>
  <si>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</si>
  <si>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</si>
  <si>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</si>
  <si>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</si>
  <si>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</si>
  <si>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</si>
  <si>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</si>
  <si>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</si>
  <si>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</si>
  <si>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</si>
  <si>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</si>
  <si>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</si>
  <si>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</si>
  <si>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</si>
  <si>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</si>
  <si>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</si>
  <si>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</si>
  <si>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</si>
  <si>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</si>
  <si>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</si>
  <si>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</si>
  <si>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</si>
  <si>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</si>
  <si>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</si>
  <si>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</si>
  <si>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</si>
  <si>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</si>
  <si>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</si>
  <si>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</si>
  <si>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</si>
  <si>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</si>
  <si>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</si>
  <si>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</si>
  <si>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</si>
  <si>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</si>
  <si>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</si>
  <si>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</si>
  <si>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</si>
  <si>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</si>
  <si>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</si>
  <si>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</si>
  <si>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</si>
  <si>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</si>
  <si>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</si>
  <si>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</si>
  <si>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</si>
  <si>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</si>
  <si>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</si>
  <si>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</si>
  <si>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</si>
  <si>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</si>
  <si>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</si>
  <si>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</si>
  <si>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</si>
  <si>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</si>
  <si>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</si>
  <si>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</si>
  <si>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</si>
  <si>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</si>
  <si>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</si>
  <si>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</si>
  <si>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</si>
  <si>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</si>
  <si>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t>HU</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</si>
  <si>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</si>
  <si>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</si>
  <si>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</si>
  <si>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</si>
  <si>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</si>
  <si>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</si>
  <si>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</si>
  <si>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</si>
  <si>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</si>
  <si>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</si>
  <si>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</si>
  <si>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</si>
  <si>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</si>
  <si>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</si>
  <si>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</si>
  <si>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</si>
  <si>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</si>
  <si>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</si>
  <si>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</si>
  <si>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</si>
  <si>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</si>
  <si>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</si>
  <si>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</si>
  <si>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</si>
  <si>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</si>
  <si>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</si>
  <si>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</si>
  <si>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</si>
  <si>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</si>
  <si>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</si>
  <si>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</si>
  <si>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</si>
  <si>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</si>
  <si>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</si>
  <si>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</si>
  <si>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</si>
  <si>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</si>
  <si>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</si>
  <si>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</si>
  <si>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</si>
  <si>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</si>
  <si>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</si>
  <si>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</si>
  <si>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</si>
  <si>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</si>
  <si>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</si>
  <si>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</si>
  <si>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</si>
  <si>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</si>
  <si>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</si>
  <si>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</si>
  <si>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</si>
  <si>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</si>
  <si>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</si>
  <si>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</si>
  <si>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</si>
  <si>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</si>
  <si>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</si>
  <si>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</si>
  <si>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</si>
  <si>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</si>
  <si>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</si>
  <si>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</si>
  <si>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</si>
  <si>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</si>
  <si>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</si>
  <si>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</si>
  <si>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</si>
  <si>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</si>
  <si>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</si>
  <si>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</si>
  <si>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</si>
  <si>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</si>
  <si>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</si>
  <si>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</si>
  <si>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</si>
  <si>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</si>
  <si>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</si>
  <si>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</si>
  <si>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</si>
  <si>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</si>
  <si>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</si>
  <si>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</si>
  <si>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</si>
  <si>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</si>
  <si>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</si>
  <si>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</si>
  <si>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</si>
  <si>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</si>
  <si>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</si>
  <si>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</si>
  <si>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</si>
  <si>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</si>
  <si>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</si>
  <si>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</si>
  <si>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</si>
  <si>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</si>
  <si>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</si>
  <si>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</si>
  <si>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</si>
  <si>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</si>
  <si>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</si>
  <si>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</si>
  <si>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</si>
  <si>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</si>
  <si>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</si>
  <si>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</si>
  <si>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</si>
  <si>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</si>
  <si>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</si>
  <si>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</si>
  <si>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</si>
  <si>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</si>
  <si>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</si>
  <si>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</si>
  <si>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</si>
  <si>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</si>
  <si>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</si>
  <si>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</si>
  <si>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</si>
  <si>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</si>
  <si>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</si>
  <si>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</si>
  <si>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</si>
  <si>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</si>
  <si>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</si>
  <si>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</si>
  <si>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</si>
  <si>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</si>
  <si>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0.66)</t>
  </si>
  <si>
    <t>Extension (annual adjustment of 0.42)</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</si>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</sst>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0">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71.995695653916613</c:v>
                </c:pt>
                <c:pt idx="1">
                  <c:v>70.351529341469288</c:v>
                </c:pt>
                <c:pt idx="2">
                  <c:v>58.899220161204013</c:v>
                </c:pt>
                <c:pt idx="3">
                  <c:v>52.991574834466704</c:v>
                </c:pt>
                <c:pt idx="4">
                  <c:v>48.42430963685608</c:v>
                </c:pt>
                <c:pt idx="5">
                  <c:v>44.364502718463832</c:v>
                </c:pt>
                <c:pt idx="6">
                  <c:v>40.903816809882066</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5.5144386291503906</c:v>
                </c:pt>
                <c:pt idx="3">
                  <c:v>7.7128448486328125</c:v>
                </c:pt>
                <c:pt idx="4">
                  <c:v>8.9697303771972656</c:v>
                </c:pt>
                <c:pt idx="5">
                  <c:v>10.354469299316406</c:v>
                </c:pt>
                <c:pt idx="6">
                  <c:v>11.519641876220703</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3.806549072265625</c:v>
                </c:pt>
                <c:pt idx="3">
                  <c:v>5.3011322021484375</c:v>
                </c:pt>
                <c:pt idx="4">
                  <c:v>6.3648338317871094</c:v>
                </c:pt>
                <c:pt idx="5">
                  <c:v>7.2958259582519531</c:v>
                </c:pt>
                <c:pt idx="6">
                  <c:v>8.0173225402832031</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3.887237548828125</c:v>
                </c:pt>
                <c:pt idx="3">
                  <c:v>5.3889923095703125</c:v>
                </c:pt>
                <c:pt idx="4">
                  <c:v>6.7794723510742188</c:v>
                </c:pt>
                <c:pt idx="5">
                  <c:v>7.7848396301269531</c:v>
                </c:pt>
                <c:pt idx="6">
                  <c:v>8.6870536804199219</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5.7411041259765625</c:v>
                </c:pt>
                <c:pt idx="3">
                  <c:v>8.52935791015625</c:v>
                </c:pt>
                <c:pt idx="4">
                  <c:v>10.089179992675781</c:v>
                </c:pt>
                <c:pt idx="5">
                  <c:v>11.8148193359375</c:v>
                </c:pt>
                <c:pt idx="6">
                  <c:v>13.215049743652344</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71.995695653916613</c:v>
                </c:pt>
                <c:pt idx="1">
                  <c:v>70.351529341469288</c:v>
                </c:pt>
                <c:pt idx="2">
                  <c:v>72.107445411448154</c:v>
                </c:pt>
                <c:pt idx="3">
                  <c:v>71.394544194818266</c:v>
                </c:pt>
                <c:pt idx="4">
                  <c:v>70.538346196914674</c:v>
                </c:pt>
                <c:pt idx="5">
                  <c:v>69.799637606159138</c:v>
                </c:pt>
                <c:pt idx="6">
                  <c:v>69.127834906805901</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71.995695653916613</c:v>
                </c:pt>
                <c:pt idx="1">
                  <c:v>70.351529341469288</c:v>
                </c:pt>
                <c:pt idx="2">
                  <c:v>64.413658790354404</c:v>
                </c:pt>
                <c:pt idx="3">
                  <c:v>60.704419683099516</c:v>
                </c:pt>
                <c:pt idx="4">
                  <c:v>57.394040014053346</c:v>
                </c:pt>
                <c:pt idx="5">
                  <c:v>54.718972017780239</c:v>
                </c:pt>
                <c:pt idx="6">
                  <c:v>52.423458686102769</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71.995695653916613</c:v>
                </c:pt>
                <c:pt idx="1">
                  <c:v>70.351529341469288</c:v>
                </c:pt>
                <c:pt idx="2">
                  <c:v>77.848549537424717</c:v>
                </c:pt>
                <c:pt idx="3">
                  <c:v>79.923902104974516</c:v>
                </c:pt>
                <c:pt idx="4">
                  <c:v>80.627526189590455</c:v>
                </c:pt>
                <c:pt idx="5">
                  <c:v>81.614456942096638</c:v>
                </c:pt>
                <c:pt idx="6">
                  <c:v>82.342884650458245</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GB"/>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71.995695653916613</c:v>
                </c:pt>
                <c:pt idx="1">
                  <c:v>70.351529341469288</c:v>
                </c:pt>
                <c:pt idx="2">
                  <c:v>68.220207862620029</c:v>
                </c:pt>
                <c:pt idx="3">
                  <c:v>66.005551885247954</c:v>
                </c:pt>
                <c:pt idx="4">
                  <c:v>63.758873845840455</c:v>
                </c:pt>
                <c:pt idx="5">
                  <c:v>62.014797976032192</c:v>
                </c:pt>
                <c:pt idx="6">
                  <c:v>60.440781226385973</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71.995695653916613</c:v>
                </c:pt>
                <c:pt idx="1">
                  <c:v>70.351529341469288</c:v>
                </c:pt>
                <c:pt idx="2">
                  <c:v>58.899220161204013</c:v>
                </c:pt>
                <c:pt idx="3">
                  <c:v>52.991574834466704</c:v>
                </c:pt>
                <c:pt idx="4">
                  <c:v>48.42430963685608</c:v>
                </c:pt>
                <c:pt idx="5">
                  <c:v>44.364502718463832</c:v>
                </c:pt>
                <c:pt idx="6">
                  <c:v>40.903816809882066</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zoomScaleNormal="100" workbookViewId="0"/>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4" t="s">
        <v>254</v>
      </c>
      <c r="D18" s="394"/>
      <c r="E18" s="394"/>
      <c r="F18" s="394"/>
      <c r="G18" s="394"/>
      <c r="H18" s="394"/>
      <c r="I18" s="394"/>
      <c r="J18" s="394"/>
      <c r="K18" s="394"/>
      <c r="L18" s="177"/>
      <c r="N18" s="292"/>
    </row>
    <row r="19" spans="2:14" x14ac:dyDescent="0.25">
      <c r="B19" s="174"/>
      <c r="C19" s="394"/>
      <c r="D19" s="394"/>
      <c r="E19" s="394"/>
      <c r="F19" s="394"/>
      <c r="G19" s="394"/>
      <c r="H19" s="394"/>
      <c r="I19" s="394"/>
      <c r="J19" s="394"/>
      <c r="K19" s="394"/>
      <c r="L19" s="177"/>
    </row>
    <row r="20" spans="2:14" x14ac:dyDescent="0.25">
      <c r="B20" s="174"/>
      <c r="C20" s="394"/>
      <c r="D20" s="394"/>
      <c r="E20" s="394"/>
      <c r="F20" s="394"/>
      <c r="G20" s="394"/>
      <c r="H20" s="394"/>
      <c r="I20" s="394"/>
      <c r="J20" s="394"/>
      <c r="K20" s="394"/>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4" t="s">
        <v>277</v>
      </c>
      <c r="D22" s="394"/>
      <c r="E22" s="394"/>
      <c r="F22" s="394"/>
      <c r="G22" s="394"/>
      <c r="H22" s="394"/>
      <c r="I22" s="394"/>
      <c r="J22" s="394"/>
      <c r="K22" s="394"/>
      <c r="L22" s="177"/>
    </row>
    <row r="23" spans="2:14" x14ac:dyDescent="0.25">
      <c r="B23" s="174"/>
      <c r="C23" s="394"/>
      <c r="D23" s="394"/>
      <c r="E23" s="394"/>
      <c r="F23" s="394"/>
      <c r="G23" s="394"/>
      <c r="H23" s="394"/>
      <c r="I23" s="394"/>
      <c r="J23" s="394"/>
      <c r="K23" s="394"/>
      <c r="L23" s="177"/>
    </row>
    <row r="24" spans="2:14" x14ac:dyDescent="0.25">
      <c r="B24" s="174"/>
      <c r="C24" s="394"/>
      <c r="D24" s="394"/>
      <c r="E24" s="394"/>
      <c r="F24" s="394"/>
      <c r="G24" s="394"/>
      <c r="H24" s="394"/>
      <c r="I24" s="394"/>
      <c r="J24" s="394"/>
      <c r="K24" s="394"/>
      <c r="L24" s="177"/>
    </row>
    <row r="25" spans="2:14" ht="30" customHeight="1" x14ac:dyDescent="0.25">
      <c r="B25" s="174"/>
      <c r="C25" s="394"/>
      <c r="D25" s="394"/>
      <c r="E25" s="394"/>
      <c r="F25" s="394"/>
      <c r="G25" s="394"/>
      <c r="H25" s="394"/>
      <c r="I25" s="394"/>
      <c r="J25" s="394"/>
      <c r="K25" s="394"/>
      <c r="L25" s="177"/>
      <c r="N25" s="269"/>
    </row>
    <row r="26" spans="2:14" x14ac:dyDescent="0.25">
      <c r="B26" s="174"/>
      <c r="C26" s="218"/>
      <c r="D26" s="218"/>
      <c r="E26" s="218"/>
      <c r="F26" s="218"/>
      <c r="G26" s="218"/>
      <c r="H26" s="218"/>
      <c r="I26" s="218"/>
      <c r="J26" s="218"/>
      <c r="K26" s="218"/>
      <c r="L26" s="177"/>
    </row>
    <row r="27" spans="2:14" x14ac:dyDescent="0.25">
      <c r="B27" s="174"/>
      <c r="C27" s="401" t="s">
        <v>5</v>
      </c>
      <c r="D27" s="401"/>
      <c r="E27" s="401"/>
      <c r="F27" s="401"/>
      <c r="G27" s="401"/>
      <c r="H27" s="401"/>
      <c r="I27" s="401"/>
      <c r="J27" s="401"/>
      <c r="K27" s="401"/>
      <c r="L27" s="177"/>
    </row>
    <row r="28" spans="2:14" x14ac:dyDescent="0.25">
      <c r="B28" s="174"/>
      <c r="C28" s="297"/>
      <c r="D28" s="297"/>
      <c r="E28" s="297"/>
      <c r="F28" s="297"/>
      <c r="G28" s="297"/>
      <c r="H28" s="297"/>
      <c r="I28" s="297"/>
      <c r="J28" s="297"/>
      <c r="K28" s="297"/>
      <c r="L28" s="177"/>
    </row>
    <row r="29" spans="2:14" ht="230.1" customHeight="1" x14ac:dyDescent="0.25">
      <c r="B29" s="174"/>
      <c r="C29" s="394" t="s">
        <v>289</v>
      </c>
      <c r="D29" s="394"/>
      <c r="E29" s="394"/>
      <c r="F29" s="394"/>
      <c r="G29" s="394"/>
      <c r="H29" s="394"/>
      <c r="I29" s="394"/>
      <c r="J29" s="394"/>
      <c r="K29" s="394"/>
      <c r="L29" s="177"/>
      <c r="N29" s="293"/>
    </row>
    <row r="30" spans="2:14" x14ac:dyDescent="0.25">
      <c r="B30" s="174"/>
      <c r="C30" s="297"/>
      <c r="D30" s="297"/>
      <c r="E30" s="297"/>
      <c r="F30" s="297"/>
      <c r="G30" s="297"/>
      <c r="H30" s="297"/>
      <c r="I30" s="297"/>
      <c r="J30" s="297"/>
      <c r="K30" s="297"/>
      <c r="L30" s="177"/>
      <c r="N30" s="195"/>
    </row>
    <row r="31" spans="2:14" x14ac:dyDescent="0.25">
      <c r="B31" s="174"/>
      <c r="C31" s="402" t="s">
        <v>6</v>
      </c>
      <c r="D31" s="402"/>
      <c r="E31" s="402"/>
      <c r="F31" s="402"/>
      <c r="G31" s="402"/>
      <c r="H31" s="402"/>
      <c r="I31" s="402"/>
      <c r="J31" s="402"/>
      <c r="K31" s="402"/>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4" t="s">
        <v>268</v>
      </c>
      <c r="E33" s="394"/>
      <c r="F33" s="394"/>
      <c r="G33" s="394"/>
      <c r="H33" s="394"/>
      <c r="I33" s="394"/>
      <c r="J33" s="394"/>
      <c r="K33" s="394"/>
      <c r="L33" s="177"/>
      <c r="M33" s="268"/>
      <c r="N33" s="295"/>
    </row>
    <row r="34" spans="2:14" s="383" customFormat="1" ht="50.1" customHeight="1" thickTop="1" thickBot="1" x14ac:dyDescent="0.25">
      <c r="B34" s="378"/>
      <c r="C34" s="379"/>
      <c r="D34" s="194"/>
      <c r="E34" s="380"/>
      <c r="F34" s="395" t="s">
        <v>284</v>
      </c>
      <c r="G34" s="391"/>
      <c r="H34" s="391"/>
      <c r="I34" s="391"/>
      <c r="J34" s="391"/>
      <c r="K34" s="391"/>
      <c r="L34" s="381"/>
      <c r="M34" s="382"/>
      <c r="N34" s="295"/>
    </row>
    <row r="35" spans="2:14" s="383" customFormat="1" ht="33" customHeight="1" thickTop="1" x14ac:dyDescent="0.2">
      <c r="B35" s="378"/>
      <c r="C35" s="379"/>
      <c r="D35" s="194"/>
      <c r="E35" s="384"/>
      <c r="F35" s="390" t="s">
        <v>285</v>
      </c>
      <c r="G35" s="390"/>
      <c r="H35" s="390"/>
      <c r="I35" s="390"/>
      <c r="J35" s="390"/>
      <c r="K35" s="390"/>
      <c r="L35" s="381"/>
      <c r="M35" s="382"/>
      <c r="N35" s="295"/>
    </row>
    <row r="36" spans="2:14" s="383" customFormat="1" ht="33" customHeight="1" x14ac:dyDescent="0.2">
      <c r="B36" s="378"/>
      <c r="C36" s="379"/>
      <c r="D36" s="194"/>
      <c r="E36" s="385"/>
      <c r="F36" s="390"/>
      <c r="G36" s="390"/>
      <c r="H36" s="390"/>
      <c r="I36" s="390"/>
      <c r="J36" s="390"/>
      <c r="K36" s="390"/>
      <c r="L36" s="381"/>
      <c r="M36" s="382"/>
      <c r="N36" s="295"/>
    </row>
    <row r="37" spans="2:14" s="383" customFormat="1" ht="66" customHeight="1" x14ac:dyDescent="0.2">
      <c r="B37" s="378"/>
      <c r="C37" s="379"/>
      <c r="D37" s="194"/>
      <c r="E37" s="386"/>
      <c r="F37" s="390" t="s">
        <v>286</v>
      </c>
      <c r="G37" s="391"/>
      <c r="H37" s="391"/>
      <c r="I37" s="391"/>
      <c r="J37" s="391"/>
      <c r="K37" s="391"/>
      <c r="L37" s="381"/>
      <c r="M37" s="382"/>
      <c r="N37" s="295"/>
    </row>
    <row r="38" spans="2:14" ht="9" customHeight="1" x14ac:dyDescent="0.25">
      <c r="B38" s="174"/>
      <c r="C38" s="184"/>
      <c r="D38" s="392"/>
      <c r="E38" s="392"/>
      <c r="F38" s="392"/>
      <c r="G38" s="392"/>
      <c r="H38" s="392"/>
      <c r="I38" s="392"/>
      <c r="J38" s="392"/>
      <c r="K38" s="392"/>
      <c r="L38" s="393"/>
      <c r="M38" s="268"/>
      <c r="N38" s="295"/>
    </row>
    <row r="39" spans="2:14" ht="102.75" customHeight="1" x14ac:dyDescent="0.25">
      <c r="B39" s="174"/>
      <c r="C39" s="184"/>
      <c r="D39" s="394" t="s">
        <v>269</v>
      </c>
      <c r="E39" s="394"/>
      <c r="F39" s="394"/>
      <c r="G39" s="394"/>
      <c r="H39" s="394"/>
      <c r="I39" s="394"/>
      <c r="J39" s="394"/>
      <c r="K39" s="394"/>
      <c r="L39" s="177"/>
      <c r="M39" s="268"/>
      <c r="N39" s="295"/>
    </row>
    <row r="40" spans="2:14" ht="52.5" customHeight="1" x14ac:dyDescent="0.25">
      <c r="B40" s="174"/>
      <c r="C40" s="184"/>
      <c r="D40" s="394" t="s">
        <v>281</v>
      </c>
      <c r="E40" s="394"/>
      <c r="F40" s="394"/>
      <c r="G40" s="394"/>
      <c r="H40" s="394"/>
      <c r="I40" s="394"/>
      <c r="J40" s="394"/>
      <c r="K40" s="394"/>
      <c r="L40" s="177"/>
      <c r="M40" s="268"/>
      <c r="N40" s="270"/>
    </row>
    <row r="41" spans="2:14" ht="41.25" customHeight="1" x14ac:dyDescent="0.25">
      <c r="B41" s="174"/>
      <c r="C41" s="184"/>
      <c r="D41" s="394" t="s">
        <v>279</v>
      </c>
      <c r="E41" s="394"/>
      <c r="F41" s="394"/>
      <c r="G41" s="394"/>
      <c r="H41" s="394"/>
      <c r="I41" s="394"/>
      <c r="J41" s="394"/>
      <c r="K41" s="394"/>
      <c r="L41" s="177"/>
      <c r="M41" s="268"/>
      <c r="N41" s="270"/>
    </row>
    <row r="42" spans="2:14" ht="96.75" customHeight="1" x14ac:dyDescent="0.25">
      <c r="B42" s="174"/>
      <c r="C42" s="184"/>
      <c r="D42" s="394" t="s">
        <v>280</v>
      </c>
      <c r="E42" s="394"/>
      <c r="F42" s="394"/>
      <c r="G42" s="394"/>
      <c r="H42" s="394"/>
      <c r="I42" s="394"/>
      <c r="J42" s="394"/>
      <c r="K42" s="394"/>
      <c r="L42" s="177"/>
      <c r="M42" s="268"/>
      <c r="N42" s="295"/>
    </row>
    <row r="43" spans="2:14" ht="144" customHeight="1" x14ac:dyDescent="0.25">
      <c r="B43" s="174"/>
      <c r="C43" s="184"/>
      <c r="D43" s="394" t="s">
        <v>267</v>
      </c>
      <c r="E43" s="394"/>
      <c r="F43" s="394"/>
      <c r="G43" s="394"/>
      <c r="H43" s="394"/>
      <c r="I43" s="394"/>
      <c r="J43" s="394"/>
      <c r="K43" s="394"/>
      <c r="L43" s="177"/>
      <c r="M43" s="268"/>
      <c r="N43" s="295"/>
    </row>
    <row r="44" spans="2:14" ht="66" customHeight="1" x14ac:dyDescent="0.25">
      <c r="B44" s="174"/>
      <c r="C44" s="184"/>
      <c r="D44" s="394" t="s">
        <v>266</v>
      </c>
      <c r="E44" s="394"/>
      <c r="F44" s="394"/>
      <c r="G44" s="394"/>
      <c r="H44" s="394"/>
      <c r="I44" s="394"/>
      <c r="J44" s="394"/>
      <c r="K44" s="394"/>
      <c r="L44" s="177"/>
      <c r="M44" s="268"/>
      <c r="N44" s="270"/>
    </row>
    <row r="45" spans="2:14" ht="68.25" customHeight="1" x14ac:dyDescent="0.25">
      <c r="B45" s="174"/>
      <c r="C45" s="184"/>
      <c r="D45" s="394" t="s">
        <v>278</v>
      </c>
      <c r="E45" s="394"/>
      <c r="F45" s="394"/>
      <c r="G45" s="394"/>
      <c r="H45" s="394"/>
      <c r="I45" s="394"/>
      <c r="J45" s="394"/>
      <c r="K45" s="394"/>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4" t="s">
        <v>183</v>
      </c>
      <c r="E47" s="394"/>
      <c r="F47" s="394"/>
      <c r="G47" s="394"/>
      <c r="H47" s="394"/>
      <c r="I47" s="394"/>
      <c r="J47" s="394"/>
      <c r="K47" s="394"/>
      <c r="L47" s="177"/>
      <c r="N47" s="295"/>
    </row>
    <row r="48" spans="2:14" ht="32.450000000000003" customHeight="1" x14ac:dyDescent="0.25">
      <c r="B48" s="174"/>
      <c r="C48" s="185"/>
      <c r="D48" s="394" t="s">
        <v>7</v>
      </c>
      <c r="E48" s="394"/>
      <c r="F48" s="394"/>
      <c r="G48" s="394"/>
      <c r="H48" s="394"/>
      <c r="I48" s="394"/>
      <c r="J48" s="394"/>
      <c r="K48" s="394"/>
      <c r="L48" s="177"/>
    </row>
    <row r="49" spans="2:14" ht="33.6" customHeight="1" x14ac:dyDescent="0.25">
      <c r="B49" s="174"/>
      <c r="C49" s="185"/>
      <c r="D49" s="186"/>
      <c r="E49" s="187"/>
      <c r="F49" s="394" t="s">
        <v>270</v>
      </c>
      <c r="G49" s="394"/>
      <c r="H49" s="394"/>
      <c r="I49" s="394"/>
      <c r="J49" s="394"/>
      <c r="K49" s="394"/>
      <c r="L49" s="177"/>
    </row>
    <row r="50" spans="2:14" ht="98.25" customHeight="1" x14ac:dyDescent="0.25">
      <c r="B50" s="174"/>
      <c r="C50" s="185"/>
      <c r="D50" s="186"/>
      <c r="E50" s="368"/>
      <c r="F50" s="391" t="s">
        <v>272</v>
      </c>
      <c r="G50" s="391"/>
      <c r="H50" s="391"/>
      <c r="I50" s="391"/>
      <c r="J50" s="391"/>
      <c r="K50" s="391"/>
      <c r="L50" s="177"/>
    </row>
    <row r="51" spans="2:14" ht="32.25" customHeight="1" x14ac:dyDescent="0.25">
      <c r="B51" s="174"/>
      <c r="C51" s="185"/>
      <c r="D51" s="186"/>
      <c r="E51" s="188"/>
      <c r="F51" s="396" t="s">
        <v>245</v>
      </c>
      <c r="G51" s="396"/>
      <c r="H51" s="396"/>
      <c r="I51" s="396"/>
      <c r="J51" s="396"/>
      <c r="K51" s="396"/>
      <c r="L51" s="177"/>
    </row>
    <row r="52" spans="2:14" ht="92.25" customHeight="1" x14ac:dyDescent="0.25">
      <c r="B52" s="174"/>
      <c r="C52" s="185"/>
      <c r="D52" s="186"/>
      <c r="E52" s="243"/>
      <c r="F52" s="396" t="s">
        <v>8</v>
      </c>
      <c r="G52" s="396"/>
      <c r="H52" s="396"/>
      <c r="I52" s="396"/>
      <c r="J52" s="396"/>
      <c r="K52" s="396"/>
      <c r="L52" s="177"/>
    </row>
    <row r="53" spans="2:14" ht="23.25" customHeight="1" x14ac:dyDescent="0.25">
      <c r="B53" s="174"/>
      <c r="C53" s="185"/>
      <c r="D53" s="186"/>
      <c r="E53" s="198"/>
      <c r="F53" s="396" t="s">
        <v>9</v>
      </c>
      <c r="G53" s="396"/>
      <c r="H53" s="396"/>
      <c r="I53" s="396"/>
      <c r="J53" s="396"/>
      <c r="K53" s="396"/>
      <c r="L53" s="177"/>
    </row>
    <row r="54" spans="2:14" ht="121.5" customHeight="1" x14ac:dyDescent="0.25">
      <c r="B54" s="174"/>
      <c r="C54" s="185"/>
      <c r="D54" s="394" t="s">
        <v>273</v>
      </c>
      <c r="E54" s="394"/>
      <c r="F54" s="394"/>
      <c r="G54" s="394"/>
      <c r="H54" s="394"/>
      <c r="I54" s="394"/>
      <c r="J54" s="394"/>
      <c r="K54" s="394"/>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4" t="s">
        <v>198</v>
      </c>
      <c r="D56" s="394"/>
      <c r="E56" s="394"/>
      <c r="F56" s="394"/>
      <c r="G56" s="394"/>
      <c r="H56" s="394"/>
      <c r="I56" s="394"/>
      <c r="J56" s="394"/>
      <c r="K56" s="394"/>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4" t="s">
        <v>295</v>
      </c>
      <c r="E58" s="394"/>
      <c r="F58" s="394"/>
      <c r="G58" s="394"/>
      <c r="H58" s="394"/>
      <c r="I58" s="394"/>
      <c r="J58" s="394"/>
      <c r="K58" s="394"/>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4" t="s">
        <v>274</v>
      </c>
      <c r="E60" s="394"/>
      <c r="F60" s="394"/>
      <c r="G60" s="394"/>
      <c r="H60" s="394"/>
      <c r="I60" s="394"/>
      <c r="J60" s="394"/>
      <c r="K60" s="394"/>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4" t="s">
        <v>275</v>
      </c>
      <c r="E62" s="394"/>
      <c r="F62" s="394"/>
      <c r="G62" s="394"/>
      <c r="H62" s="394"/>
      <c r="I62" s="394"/>
      <c r="J62" s="394"/>
      <c r="K62" s="394"/>
      <c r="L62" s="177"/>
    </row>
    <row r="63" spans="2:14" x14ac:dyDescent="0.25">
      <c r="B63" s="174"/>
      <c r="C63" s="245"/>
      <c r="D63" s="398" t="s">
        <v>191</v>
      </c>
      <c r="E63" s="398"/>
      <c r="F63" s="398"/>
      <c r="G63" s="398"/>
      <c r="H63" s="398"/>
      <c r="I63" s="398"/>
      <c r="J63" s="398"/>
      <c r="K63" s="398"/>
      <c r="L63" s="177"/>
    </row>
    <row r="64" spans="2:14" x14ac:dyDescent="0.25">
      <c r="B64" s="174"/>
      <c r="C64" s="245"/>
      <c r="D64" s="399" t="s">
        <v>10</v>
      </c>
      <c r="E64" s="399"/>
      <c r="F64" s="399"/>
      <c r="G64" s="399"/>
      <c r="H64" s="399"/>
      <c r="I64" s="399"/>
      <c r="J64" s="399"/>
      <c r="K64" s="399"/>
      <c r="L64" s="177"/>
    </row>
    <row r="65" spans="2:14" x14ac:dyDescent="0.25">
      <c r="B65" s="174"/>
      <c r="C65" s="245"/>
      <c r="D65" s="399" t="s">
        <v>11</v>
      </c>
      <c r="E65" s="399"/>
      <c r="F65" s="399"/>
      <c r="G65" s="399"/>
      <c r="H65" s="399"/>
      <c r="I65" s="399"/>
      <c r="J65" s="399"/>
      <c r="K65" s="399"/>
      <c r="L65" s="177"/>
    </row>
    <row r="66" spans="2:14" x14ac:dyDescent="0.25">
      <c r="B66" s="174"/>
      <c r="C66" s="245"/>
      <c r="D66" s="399" t="s">
        <v>12</v>
      </c>
      <c r="E66" s="399"/>
      <c r="F66" s="399"/>
      <c r="G66" s="399"/>
      <c r="H66" s="399"/>
      <c r="I66" s="399"/>
      <c r="J66" s="399"/>
      <c r="K66" s="399"/>
      <c r="L66" s="177"/>
    </row>
    <row r="67" spans="2:14" x14ac:dyDescent="0.25">
      <c r="B67" s="174"/>
      <c r="C67" s="245"/>
      <c r="D67" s="298"/>
      <c r="E67" s="298"/>
      <c r="F67" s="298"/>
      <c r="G67" s="298"/>
      <c r="H67" s="298"/>
      <c r="I67" s="298"/>
      <c r="J67" s="298"/>
      <c r="K67" s="298"/>
      <c r="L67" s="177"/>
    </row>
    <row r="68" spans="2:14" ht="33.75" customHeight="1" x14ac:dyDescent="0.25">
      <c r="B68" s="174"/>
      <c r="C68" s="245"/>
      <c r="D68" s="394" t="s">
        <v>197</v>
      </c>
      <c r="E68" s="400"/>
      <c r="F68" s="400"/>
      <c r="G68" s="400"/>
      <c r="H68" s="400"/>
      <c r="I68" s="400"/>
      <c r="J68" s="400"/>
      <c r="K68" s="400"/>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4" t="s">
        <v>200</v>
      </c>
      <c r="E70" s="394"/>
      <c r="F70" s="394"/>
      <c r="G70" s="394"/>
      <c r="H70" s="394"/>
      <c r="I70" s="394"/>
      <c r="J70" s="394"/>
      <c r="K70" s="394"/>
      <c r="L70" s="177"/>
    </row>
    <row r="71" spans="2:14" x14ac:dyDescent="0.25">
      <c r="B71" s="174"/>
      <c r="C71" s="218"/>
      <c r="D71" s="194"/>
      <c r="E71" s="194"/>
      <c r="F71" s="194"/>
      <c r="G71" s="194"/>
      <c r="H71" s="194"/>
      <c r="I71" s="194"/>
      <c r="J71" s="194"/>
      <c r="K71" s="194"/>
      <c r="L71" s="177"/>
    </row>
    <row r="72" spans="2:14" ht="46.15" customHeight="1" x14ac:dyDescent="0.25">
      <c r="B72" s="174"/>
      <c r="C72" s="397" t="s">
        <v>199</v>
      </c>
      <c r="D72" s="397"/>
      <c r="E72" s="397"/>
      <c r="F72" s="397"/>
      <c r="G72" s="397"/>
      <c r="H72" s="397"/>
      <c r="I72" s="397"/>
      <c r="J72" s="397"/>
      <c r="K72" s="397"/>
      <c r="L72" s="177"/>
    </row>
    <row r="73" spans="2:14" ht="38.25" customHeight="1" x14ac:dyDescent="0.25">
      <c r="B73" s="174"/>
      <c r="C73" s="218"/>
      <c r="D73" s="187"/>
      <c r="E73" s="391" t="s">
        <v>173</v>
      </c>
      <c r="F73" s="391"/>
      <c r="G73" s="391"/>
      <c r="H73" s="391"/>
      <c r="I73" s="391"/>
      <c r="J73" s="391"/>
      <c r="K73" s="391"/>
      <c r="L73" s="177"/>
      <c r="N73" s="268"/>
    </row>
    <row r="74" spans="2:14" ht="45.6" customHeight="1" x14ac:dyDescent="0.25">
      <c r="B74" s="174"/>
      <c r="C74" s="218"/>
      <c r="D74" s="189"/>
      <c r="E74" s="391" t="s">
        <v>184</v>
      </c>
      <c r="F74" s="391"/>
      <c r="G74" s="391"/>
      <c r="H74" s="391"/>
      <c r="I74" s="391"/>
      <c r="J74" s="391"/>
      <c r="K74" s="391"/>
      <c r="L74" s="177"/>
      <c r="N74" s="295"/>
    </row>
    <row r="75" spans="2:14" ht="45" customHeight="1" x14ac:dyDescent="0.25">
      <c r="B75" s="174"/>
      <c r="C75" s="218"/>
      <c r="D75" s="190"/>
      <c r="E75" s="391" t="s">
        <v>164</v>
      </c>
      <c r="F75" s="391"/>
      <c r="G75" s="391"/>
      <c r="H75" s="391"/>
      <c r="I75" s="391"/>
      <c r="J75" s="391"/>
      <c r="K75" s="391"/>
      <c r="L75" s="177"/>
    </row>
    <row r="76" spans="2:14" x14ac:dyDescent="0.25">
      <c r="B76" s="174"/>
      <c r="C76" s="218"/>
      <c r="D76" s="297"/>
      <c r="E76" s="191"/>
      <c r="F76" s="296"/>
      <c r="G76" s="296"/>
      <c r="H76" s="296"/>
      <c r="I76" s="296"/>
      <c r="J76" s="296"/>
      <c r="K76" s="296"/>
      <c r="L76" s="177"/>
    </row>
    <row r="77" spans="2:14" ht="48" customHeight="1" x14ac:dyDescent="0.25">
      <c r="B77" s="174"/>
      <c r="C77" s="218"/>
      <c r="D77" s="394" t="s">
        <v>13</v>
      </c>
      <c r="E77" s="394"/>
      <c r="F77" s="394"/>
      <c r="G77" s="394"/>
      <c r="H77" s="394"/>
      <c r="I77" s="394"/>
      <c r="J77" s="394"/>
      <c r="K77" s="394"/>
      <c r="L77" s="177"/>
    </row>
    <row r="78" spans="2:14" ht="33" customHeight="1" thickBot="1" x14ac:dyDescent="0.3">
      <c r="B78" s="174"/>
      <c r="C78" s="218"/>
      <c r="D78" s="192"/>
      <c r="E78" s="391" t="s">
        <v>166</v>
      </c>
      <c r="F78" s="391"/>
      <c r="G78" s="391"/>
      <c r="H78" s="391"/>
      <c r="I78" s="391"/>
      <c r="J78" s="391"/>
      <c r="K78" s="391"/>
      <c r="L78" s="177"/>
    </row>
    <row r="79" spans="2:14" ht="33" customHeight="1" thickBot="1" x14ac:dyDescent="0.3">
      <c r="B79" s="174"/>
      <c r="C79" s="218"/>
      <c r="D79" s="193"/>
      <c r="E79" s="404" t="s">
        <v>165</v>
      </c>
      <c r="F79" s="391"/>
      <c r="G79" s="391"/>
      <c r="H79" s="391"/>
      <c r="I79" s="391"/>
      <c r="J79" s="391"/>
      <c r="K79" s="391"/>
      <c r="L79" s="177"/>
    </row>
    <row r="80" spans="2:14" x14ac:dyDescent="0.25">
      <c r="B80" s="174"/>
      <c r="C80" s="218"/>
      <c r="D80" s="297"/>
      <c r="E80" s="297"/>
      <c r="F80" s="297"/>
      <c r="G80" s="297"/>
      <c r="H80" s="297"/>
      <c r="I80" s="297"/>
      <c r="J80" s="297"/>
      <c r="K80" s="297"/>
      <c r="L80" s="177"/>
    </row>
    <row r="81" spans="2:14" ht="17.45" customHeight="1" x14ac:dyDescent="0.25">
      <c r="B81" s="174"/>
      <c r="C81" s="401" t="s">
        <v>14</v>
      </c>
      <c r="D81" s="401"/>
      <c r="E81" s="401"/>
      <c r="F81" s="401"/>
      <c r="G81" s="401"/>
      <c r="H81" s="401"/>
      <c r="I81" s="401"/>
      <c r="J81" s="401"/>
      <c r="K81" s="401"/>
      <c r="L81" s="177"/>
    </row>
    <row r="82" spans="2:14" ht="90" customHeight="1" x14ac:dyDescent="0.25">
      <c r="B82" s="174"/>
      <c r="C82" s="394" t="s">
        <v>276</v>
      </c>
      <c r="D82" s="394"/>
      <c r="E82" s="394"/>
      <c r="F82" s="394"/>
      <c r="G82" s="394"/>
      <c r="H82" s="394"/>
      <c r="I82" s="394"/>
      <c r="J82" s="394"/>
      <c r="K82" s="394"/>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4" t="s">
        <v>290</v>
      </c>
      <c r="E84" s="394"/>
      <c r="F84" s="394"/>
      <c r="G84" s="394"/>
      <c r="H84" s="394"/>
      <c r="I84" s="394"/>
      <c r="J84" s="394"/>
      <c r="K84" s="394"/>
      <c r="L84" s="177"/>
      <c r="N84" s="269"/>
    </row>
    <row r="85" spans="2:14" x14ac:dyDescent="0.25">
      <c r="B85" s="180"/>
      <c r="C85" s="403"/>
      <c r="D85" s="403"/>
      <c r="E85" s="403"/>
      <c r="F85" s="403"/>
      <c r="G85" s="403"/>
      <c r="H85" s="403"/>
      <c r="I85" s="403"/>
      <c r="J85" s="403"/>
      <c r="K85" s="403"/>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5" t="s">
        <v>167</v>
      </c>
      <c r="E3" s="446"/>
      <c r="F3" s="447"/>
      <c r="H3" s="469"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69"/>
      <c r="U3" s="109">
        <v>7</v>
      </c>
      <c r="V3" s="387">
        <v>0.02</v>
      </c>
    </row>
    <row r="4" spans="1:22" ht="13.5" thickBot="1" x14ac:dyDescent="0.25">
      <c r="D4" s="217" t="s">
        <v>15</v>
      </c>
      <c r="E4" s="18"/>
      <c r="F4" s="40" t="s">
        <v>163</v>
      </c>
      <c r="H4" s="469"/>
      <c r="I4" s="469"/>
      <c r="V4" s="387">
        <v>0.04</v>
      </c>
    </row>
    <row r="5" spans="1:22" ht="13.5" thickTop="1" x14ac:dyDescent="0.2">
      <c r="D5" s="216" t="s">
        <v>282</v>
      </c>
      <c r="F5" s="167">
        <v>4</v>
      </c>
      <c r="H5" s="469"/>
      <c r="I5" s="469"/>
      <c r="V5" s="387">
        <v>0.06</v>
      </c>
    </row>
    <row r="6" spans="1:22" ht="13.5" thickBot="1" x14ac:dyDescent="0.25">
      <c r="D6" s="248" t="s">
        <v>16</v>
      </c>
      <c r="E6" s="249"/>
      <c r="F6" s="168">
        <v>0.66</v>
      </c>
      <c r="H6" s="469"/>
      <c r="I6" s="469"/>
      <c r="V6" s="387">
        <v>0.08</v>
      </c>
    </row>
    <row r="7" spans="1:22" ht="13.5" thickTop="1" x14ac:dyDescent="0.2">
      <c r="D7" s="251"/>
      <c r="F7" s="267"/>
      <c r="V7" s="387">
        <v>0.1</v>
      </c>
    </row>
    <row r="8" spans="1:22" x14ac:dyDescent="0.2">
      <c r="D8" s="16"/>
      <c r="F8" s="17"/>
      <c r="V8" s="387">
        <v>0.12</v>
      </c>
    </row>
    <row r="9" spans="1:22" ht="18.75" customHeight="1" x14ac:dyDescent="0.2">
      <c r="D9" s="16"/>
      <c r="F9" s="17"/>
      <c r="G9" s="460" t="s">
        <v>168</v>
      </c>
      <c r="H9" s="461"/>
      <c r="I9" s="461"/>
      <c r="J9" s="462"/>
      <c r="L9" s="466" t="s">
        <v>169</v>
      </c>
      <c r="M9" s="467"/>
      <c r="N9" s="467"/>
      <c r="O9" s="467"/>
      <c r="P9" s="467"/>
      <c r="Q9" s="468"/>
      <c r="V9" s="387">
        <v>0.14000000000000001</v>
      </c>
    </row>
    <row r="10" spans="1:22" ht="18.75" customHeight="1" x14ac:dyDescent="0.2">
      <c r="A10" s="284"/>
      <c r="F10" s="273"/>
      <c r="G10" s="463"/>
      <c r="H10" s="464"/>
      <c r="I10" s="464"/>
      <c r="J10" s="465"/>
      <c r="L10" s="451" t="s">
        <v>195</v>
      </c>
      <c r="M10" s="454"/>
      <c r="N10" s="455" t="s">
        <v>196</v>
      </c>
      <c r="O10" s="456"/>
      <c r="P10" s="451" t="s">
        <v>17</v>
      </c>
      <c r="Q10" s="452"/>
      <c r="V10" s="387">
        <v>0.16</v>
      </c>
    </row>
    <row r="11" spans="1:22" ht="107.25" customHeight="1" x14ac:dyDescent="0.2">
      <c r="A11" s="360"/>
      <c r="D11" s="213"/>
      <c r="E11" s="213"/>
      <c r="F11" s="214" t="s">
        <v>204</v>
      </c>
      <c r="G11" s="42" t="s">
        <v>18</v>
      </c>
      <c r="H11" s="219" t="s">
        <v>19</v>
      </c>
      <c r="I11" s="41" t="s">
        <v>20</v>
      </c>
      <c r="J11" s="92" t="str">
        <f>"Debt below 60% of GDP in T+"&amp;10+F5&amp;" **"</f>
        <v>Debt below 60% of GDP in T+14 **</v>
      </c>
      <c r="L11" s="92" t="s">
        <v>193</v>
      </c>
      <c r="M11" s="226" t="s">
        <v>194</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ok</v>
      </c>
      <c r="H12" s="220" t="str">
        <f>IF(OR('Adjust. no safeguard'!F57&gt;60,'Adjust. no safeguard'!F77&lt;-3),IF($F$5=4,IF(Stochastic!$O$17&lt;Stochastic!$J$17,"ok","Not met"),IF(Stochastic!$R$17&lt;Stochastic!$M$17,"ok","Not met")),"")</f>
        <v>ok</v>
      </c>
      <c r="I12" s="8" t="str">
        <f ca="1">IF(MIN(OFFSET('Adjust. no safeguard'!$F$77,0,$F$5,1,11))&gt;-3.05,"ok","Not met")</f>
        <v>ok</v>
      </c>
      <c r="J12" s="12" t="str">
        <f ca="1">IF(OFFSET('Adjust. no safeguard'!$F$57,0,$F$5+10,1,1)&lt;60,"ok","Not met")</f>
        <v>ok</v>
      </c>
      <c r="L12" s="416"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Not applicable, reference year is the last year of adjustment</v>
      </c>
      <c r="M12" s="419" t="str">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Not applicable, reference year is the last year of adjustment</v>
      </c>
      <c r="N12" s="457" t="str">
        <f>IF(AND(O12=0,F6&lt;0.5),"not relevant","ok")</f>
        <v>ok</v>
      </c>
      <c r="O12" s="413">
        <f>IF(F6&lt;0.5,COUNTIFS('Adjustment scenario'!F77:H77,"&lt;"&amp;-3.049),0)+IF(AND(F5=4,J19&gt;0.5,J19&gt;F6),1,COUNTIFS(J19:M19,"&gt;" &amp; F6,J19:M19,"&gt;"&amp;0.5))</f>
        <v>0</v>
      </c>
      <c r="P12" s="416" t="str">
        <f>IF(OR(AND(F5=4,Q12=0,F6&lt;0.4),AND(F5=7,Q12=0,F6&lt;0.25)),"not relevant, 
(over the adjustment horizon)","ok")</f>
        <v>ok</v>
      </c>
      <c r="Q12" s="448">
        <f>IF(AND('Criteria results'!$F$5=4,'Criteria results'!$F$6&lt;=0.4),COUNTIFS('Adjustment scenario'!G13:J13,0.4,'Adjustment scenario'!F88:I88,0),IF(AND('Criteria results'!$F$5=7,'Criteria results'!$F$6&lt;=0.25),COUNTIFS('Adjustment scenario'!G13:M13,0.25,'Adjustment scenario'!F88:L88,0),0))</f>
        <v>0</v>
      </c>
      <c r="V12" s="387">
        <v>0.2</v>
      </c>
    </row>
    <row r="13" spans="1:22" x14ac:dyDescent="0.2">
      <c r="D13" s="14" t="s">
        <v>26</v>
      </c>
      <c r="G13" s="10" t="str">
        <f ca="1">IF(OR('Adjustment scenario'!F57&gt;60,'Adjustment scenario'!F77&lt;-3),IF(SUM(OFFSET('Financial stress'!$F$75,0,$F$5+1,1,10))=0,"ok","Not met"),"")</f>
        <v>ok</v>
      </c>
      <c r="H13" s="220"/>
      <c r="I13" s="8"/>
      <c r="J13" s="12" t="str">
        <f ca="1">IF(OR('Adjustment scenario'!F57&gt;60,'Adjustment scenario'!F77&lt;-3),IF(OFFSET('Financial stress'!$F$56,0,$F$5+10,1,1)&lt;60,"ok","Not met"),"")</f>
        <v>ok</v>
      </c>
      <c r="L13" s="417"/>
      <c r="M13" s="420"/>
      <c r="N13" s="458"/>
      <c r="O13" s="414"/>
      <c r="P13" s="417"/>
      <c r="Q13" s="449"/>
      <c r="V13" s="387">
        <v>0.22</v>
      </c>
    </row>
    <row r="14" spans="1:22" x14ac:dyDescent="0.2">
      <c r="D14" s="14" t="s">
        <v>27</v>
      </c>
      <c r="G14" s="10" t="str">
        <f ca="1">IF(OR('Adjustment scenario'!F57&gt;60,'Adjustment scenario'!F77&lt;-3),IF(SUM(OFFSET('Lower SPB'!$F$75,0,$F$5+1,1,10))=0,"ok","Not met"),"")</f>
        <v>ok</v>
      </c>
      <c r="H14" s="220"/>
      <c r="I14" s="8"/>
      <c r="J14" s="12" t="str">
        <f ca="1">IF(OR('Adjustment scenario'!F57&gt;60,'Adjustment scenario'!F77&lt;-3),IF(OFFSET('Lower SPB'!$F$56,0,$F$5+10,1,1)&lt;60,"ok","Not met"),"")</f>
        <v>Not met</v>
      </c>
      <c r="L14" s="417"/>
      <c r="M14" s="420"/>
      <c r="N14" s="458"/>
      <c r="O14" s="414"/>
      <c r="P14" s="417"/>
      <c r="Q14" s="449"/>
      <c r="V14" s="387">
        <v>0.24</v>
      </c>
    </row>
    <row r="15" spans="1:22" x14ac:dyDescent="0.2">
      <c r="D15" s="15" t="s">
        <v>28</v>
      </c>
      <c r="E15" s="6"/>
      <c r="F15" s="6"/>
      <c r="G15" s="11" t="str">
        <f ca="1">IF(OR('Adjustment scenario'!F57&gt;60,'Adjustment scenario'!F77&lt;-3),IF(SUM(OFFSET('Adverse (r-g)'!$F$76,0,$F$5+1,1,10))=0,"ok","Not met"),"")</f>
        <v>ok</v>
      </c>
      <c r="H15" s="221"/>
      <c r="I15" s="9"/>
      <c r="J15" s="13" t="str">
        <f ca="1">IF(OR('Adjustment scenario'!F57&gt;60,'Adjustment scenario'!F77&lt;-3),IF(OFFSET('Adverse (r-g)'!$F$57,0,$F$5+10,1,1)&lt;60,"ok","Not met"),"")</f>
        <v>Not met</v>
      </c>
      <c r="L15" s="418"/>
      <c r="M15" s="421"/>
      <c r="N15" s="459"/>
      <c r="O15" s="415"/>
      <c r="P15" s="418"/>
      <c r="Q15" s="450"/>
      <c r="V15" s="387">
        <v>0.26</v>
      </c>
    </row>
    <row r="16" spans="1:22" ht="102" customHeight="1" x14ac:dyDescent="0.2">
      <c r="D16" s="422" t="s">
        <v>291</v>
      </c>
      <c r="E16" s="422"/>
      <c r="F16" s="422"/>
      <c r="G16" s="422"/>
      <c r="H16" s="422"/>
      <c r="I16" s="422"/>
      <c r="J16" s="422"/>
      <c r="L16" s="453" t="s">
        <v>205</v>
      </c>
      <c r="M16" s="453"/>
      <c r="N16" s="453"/>
      <c r="O16" s="453"/>
      <c r="P16" s="453"/>
      <c r="Q16" s="453"/>
      <c r="V16" s="387">
        <v>0.28000000000000003</v>
      </c>
    </row>
    <row r="17" spans="4:22" ht="15.75" customHeight="1" x14ac:dyDescent="0.2">
      <c r="D17" s="227"/>
      <c r="E17" s="227"/>
      <c r="F17" s="227"/>
      <c r="G17" s="423" t="s">
        <v>172</v>
      </c>
      <c r="H17" s="424"/>
      <c r="I17" s="424"/>
      <c r="J17" s="425"/>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6" t="s">
        <v>29</v>
      </c>
      <c r="E19" s="427"/>
      <c r="F19" s="428"/>
      <c r="G19" s="232">
        <f>'Adjustment scenario'!G12-'Adjustment scenario'!F12</f>
        <v>0.66</v>
      </c>
      <c r="H19" s="239">
        <f>'Adjustment scenario'!H12-'Adjustment scenario'!G12</f>
        <v>0.66</v>
      </c>
      <c r="I19" s="239">
        <f>'Adjustment scenario'!I12-'Adjustment scenario'!H12</f>
        <v>0.66000000000000014</v>
      </c>
      <c r="J19" s="239">
        <f>'Adjustment scenario'!J12-'Adjustment scenario'!I12</f>
        <v>0.66000000000000014</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5" t="s">
        <v>30</v>
      </c>
      <c r="E20" s="406"/>
      <c r="F20" s="407"/>
      <c r="G20" s="237">
        <f>'Adjustment scenario'!G79</f>
        <v>4.7503461202103532</v>
      </c>
      <c r="H20" s="238">
        <f>'Adjustment scenario'!H79</f>
        <v>4.4654573702103537</v>
      </c>
      <c r="I20" s="238">
        <f>'Adjustment scenario'!I79</f>
        <v>4.2539706202103531</v>
      </c>
      <c r="J20" s="238">
        <f>'Adjustment scenario'!J79</f>
        <v>4.0864718702103531</v>
      </c>
      <c r="K20" s="238">
        <f>'Adjustment scenario'!K79</f>
        <v>5.5596879999999995</v>
      </c>
      <c r="L20" s="238">
        <f>'Adjustment scenario'!L79</f>
        <v>5.4909772500000003</v>
      </c>
      <c r="M20" s="241">
        <f>'Adjustment scenario'!M79</f>
        <v>5.3812804999999999</v>
      </c>
      <c r="N20" s="256"/>
      <c r="P20" s="232"/>
      <c r="V20" s="387">
        <v>0.36</v>
      </c>
    </row>
    <row r="21" spans="4:22" ht="15" customHeight="1" x14ac:dyDescent="0.2">
      <c r="D21" s="283" t="s">
        <v>41</v>
      </c>
      <c r="E21" s="274"/>
      <c r="F21" s="275"/>
      <c r="G21" s="279">
        <f>'Adjustment scenario'!G77</f>
        <v>-3.8879717175187691</v>
      </c>
      <c r="H21" s="280">
        <f>'Adjustment scenario'!H77</f>
        <v>-3.3942993926767917</v>
      </c>
      <c r="I21" s="280">
        <f>'Adjustment scenario'!I77</f>
        <v>-2.8128622023118801</v>
      </c>
      <c r="J21" s="280">
        <f>'Adjustment scenario'!J77</f>
        <v>-2.1714320939948344</v>
      </c>
      <c r="K21" s="280">
        <f>'Adjustment scenario'!K77</f>
        <v>-1.9068459290825004</v>
      </c>
      <c r="L21" s="280">
        <f>'Adjustment scenario'!L77</f>
        <v>-1.6573016415184556</v>
      </c>
      <c r="M21" s="281">
        <f>'Adjustment scenario'!M77</f>
        <v>-1.4320555586275643</v>
      </c>
      <c r="N21" s="256"/>
      <c r="P21" s="232"/>
      <c r="V21" s="387">
        <v>0.38</v>
      </c>
    </row>
    <row r="22" spans="4:22" ht="15" customHeight="1" x14ac:dyDescent="0.2">
      <c r="D22" s="283" t="s">
        <v>42</v>
      </c>
      <c r="E22" s="274"/>
      <c r="F22" s="275"/>
      <c r="G22" s="276">
        <f>'Adjustment scenario'!G78</f>
        <v>-3.4729743033081202</v>
      </c>
      <c r="H22" s="277">
        <f>'Adjustment scenario'!H78</f>
        <v>-2.9003621337630983</v>
      </c>
      <c r="I22" s="277">
        <f>'Adjustment scenario'!I78</f>
        <v>-2.2663879612509485</v>
      </c>
      <c r="J22" s="277">
        <f>'Adjustment scenario'!J78</f>
        <v>-1.5899885213239915</v>
      </c>
      <c r="K22" s="277">
        <f>'Adjustment scenario'!K78</f>
        <v>-1.519216880635273</v>
      </c>
      <c r="L22" s="277">
        <f>'Adjustment scenario'!L78</f>
        <v>-1.4634871172948447</v>
      </c>
      <c r="M22" s="282">
        <f>'Adjustment scenario'!M78</f>
        <v>-1.4320555586275645</v>
      </c>
      <c r="N22" s="256"/>
      <c r="P22" s="232"/>
      <c r="V22" s="387">
        <v>0.4</v>
      </c>
    </row>
    <row r="23" spans="4:22" ht="15" customHeight="1" x14ac:dyDescent="0.2">
      <c r="D23" s="283" t="s">
        <v>43</v>
      </c>
      <c r="E23" s="274"/>
      <c r="F23" s="275"/>
      <c r="G23" s="237">
        <f>'Adjustment scenario'!G57</f>
        <v>73.854222000134087</v>
      </c>
      <c r="H23" s="238">
        <f>'Adjustment scenario'!H57</f>
        <v>73.145093744834028</v>
      </c>
      <c r="I23" s="238">
        <f>'Adjustment scenario'!I57</f>
        <v>71.995695653916613</v>
      </c>
      <c r="J23" s="238">
        <f>'Adjustment scenario'!J57</f>
        <v>70.351529341469288</v>
      </c>
      <c r="K23" s="238">
        <f>'Adjustment scenario'!K57</f>
        <v>68.220207862620029</v>
      </c>
      <c r="L23" s="238">
        <f>'Adjustment scenario'!L57</f>
        <v>66.005551885247954</v>
      </c>
      <c r="M23" s="241">
        <f>'Adjustment scenario'!M57</f>
        <v>63.758873845840455</v>
      </c>
      <c r="N23" s="256"/>
      <c r="P23" s="232"/>
      <c r="V23" s="387">
        <v>0.42</v>
      </c>
    </row>
    <row r="24" spans="4:22" ht="15" customHeight="1" x14ac:dyDescent="0.2">
      <c r="D24" s="439" t="s">
        <v>31</v>
      </c>
      <c r="E24" s="439"/>
      <c r="F24" s="439"/>
      <c r="G24" s="278">
        <f>AVERAGE(G19:J19)</f>
        <v>0.66000000000000014</v>
      </c>
      <c r="I24" s="232"/>
      <c r="J24" s="232"/>
      <c r="K24" s="232"/>
      <c r="L24" s="232"/>
      <c r="M24" s="232"/>
      <c r="N24" s="232"/>
      <c r="P24" s="236"/>
      <c r="V24" s="387">
        <v>0.44</v>
      </c>
    </row>
    <row r="25" spans="4:22" x14ac:dyDescent="0.2">
      <c r="D25" s="242" t="s">
        <v>32</v>
      </c>
      <c r="E25" s="377"/>
      <c r="F25" s="376"/>
      <c r="G25" s="272">
        <f>IF(F5=4,AVERAGE(G19:J19),AVERAGE(G19:M19))</f>
        <v>0.66000000000000014</v>
      </c>
      <c r="H25" s="232"/>
      <c r="Q25" s="231"/>
      <c r="V25" s="387">
        <v>0.46</v>
      </c>
    </row>
    <row r="26" spans="4:22" x14ac:dyDescent="0.2">
      <c r="D26" s="408" t="s">
        <v>33</v>
      </c>
      <c r="E26" s="409"/>
      <c r="F26" s="409"/>
      <c r="G26" s="374">
        <f>AVERAGE(G20:J20)</f>
        <v>4.3890614952103535</v>
      </c>
      <c r="Q26" s="231"/>
      <c r="V26" s="387">
        <v>0.48</v>
      </c>
    </row>
    <row r="27" spans="4:22" ht="15" customHeight="1" x14ac:dyDescent="0.2">
      <c r="D27" s="410" t="s">
        <v>34</v>
      </c>
      <c r="E27" s="411"/>
      <c r="F27" s="411"/>
      <c r="G27" s="375">
        <f>IF(F5=4,AVERAGE(G20:J20),AVERAGE(G20:M20))</f>
        <v>4.3890614952103535</v>
      </c>
      <c r="H27" s="232"/>
      <c r="I27" s="232"/>
      <c r="J27" s="232"/>
      <c r="K27" s="232"/>
      <c r="L27" s="232"/>
      <c r="M27" s="232"/>
      <c r="N27" s="232"/>
      <c r="O27" s="232"/>
      <c r="P27" s="232"/>
      <c r="V27" s="387">
        <v>0.5</v>
      </c>
    </row>
    <row r="28" spans="4:22" ht="53.25" customHeight="1" x14ac:dyDescent="0.2">
      <c r="D28" s="412" t="s">
        <v>292</v>
      </c>
      <c r="E28" s="412"/>
      <c r="F28" s="412"/>
      <c r="G28" s="412"/>
      <c r="H28" s="412"/>
      <c r="I28" s="412"/>
      <c r="J28" s="412"/>
      <c r="K28" s="233"/>
      <c r="L28" s="233"/>
      <c r="M28" s="233"/>
      <c r="N28" s="233"/>
      <c r="O28" s="233"/>
      <c r="V28" s="387">
        <v>0.52</v>
      </c>
    </row>
    <row r="29" spans="4:22" x14ac:dyDescent="0.2">
      <c r="V29" s="387">
        <v>0.54</v>
      </c>
    </row>
    <row r="30" spans="4:22" ht="15.75" customHeight="1" x14ac:dyDescent="0.2">
      <c r="G30" s="440" t="s">
        <v>170</v>
      </c>
      <c r="H30" s="441"/>
      <c r="V30" s="387">
        <v>0.56000000000000005</v>
      </c>
    </row>
    <row r="31" spans="4:22" x14ac:dyDescent="0.2">
      <c r="G31" s="199" t="s">
        <v>35</v>
      </c>
      <c r="H31" s="200" t="s">
        <v>36</v>
      </c>
      <c r="V31" s="387">
        <v>0.57999999999999996</v>
      </c>
    </row>
    <row r="32" spans="4:22" x14ac:dyDescent="0.2">
      <c r="D32" s="369" t="s">
        <v>282</v>
      </c>
      <c r="E32" s="204"/>
      <c r="F32" s="205"/>
      <c r="G32" s="210">
        <v>4</v>
      </c>
      <c r="H32" s="201">
        <v>7</v>
      </c>
      <c r="M32" s="271"/>
      <c r="V32" s="387">
        <v>0.6</v>
      </c>
    </row>
    <row r="33" spans="4:22" x14ac:dyDescent="0.2">
      <c r="D33" s="370" t="s">
        <v>37</v>
      </c>
      <c r="E33" s="206"/>
      <c r="F33" s="207"/>
      <c r="G33" s="211">
        <v>0.66</v>
      </c>
      <c r="H33" s="202">
        <v>0.42</v>
      </c>
      <c r="V33" s="387">
        <v>0.62</v>
      </c>
    </row>
    <row r="34" spans="4:22" x14ac:dyDescent="0.2">
      <c r="D34" s="371" t="s">
        <v>283</v>
      </c>
      <c r="E34" s="208"/>
      <c r="F34" s="209"/>
      <c r="G34" s="212">
        <v>72.430000305175781</v>
      </c>
      <c r="H34" s="203">
        <v>71.260000228881836</v>
      </c>
      <c r="V34" s="387">
        <v>0.64</v>
      </c>
    </row>
    <row r="35" spans="4:22" ht="40.15" customHeight="1" x14ac:dyDescent="0.2">
      <c r="D35" s="435" t="s">
        <v>190</v>
      </c>
      <c r="E35" s="435"/>
      <c r="F35" s="435"/>
      <c r="G35" s="435"/>
      <c r="H35" s="435"/>
      <c r="V35" s="387">
        <v>0.66</v>
      </c>
    </row>
    <row r="36" spans="4:22" x14ac:dyDescent="0.2">
      <c r="V36" s="387">
        <v>0.68</v>
      </c>
    </row>
    <row r="37" spans="4:22" ht="19.899999999999999" customHeight="1" x14ac:dyDescent="0.2">
      <c r="D37" s="227"/>
      <c r="E37" s="227"/>
      <c r="F37" s="227"/>
      <c r="H37" s="436" t="s">
        <v>265</v>
      </c>
      <c r="I37" s="437"/>
      <c r="J37" s="437"/>
      <c r="K37" s="437"/>
      <c r="L37" s="437"/>
      <c r="M37" s="437"/>
      <c r="N37" s="438"/>
      <c r="O37" s="257"/>
      <c r="V37" s="387">
        <v>0.7</v>
      </c>
    </row>
    <row r="38" spans="4:22" x14ac:dyDescent="0.2">
      <c r="D38" s="227"/>
      <c r="E38" s="227"/>
      <c r="F38" s="250"/>
      <c r="G38" s="309" t="s">
        <v>244</v>
      </c>
      <c r="H38" s="307">
        <v>2025</v>
      </c>
      <c r="I38" s="307">
        <v>2026</v>
      </c>
      <c r="J38" s="307">
        <v>2027</v>
      </c>
      <c r="K38" s="307">
        <v>2028</v>
      </c>
      <c r="L38" s="307">
        <v>2029</v>
      </c>
      <c r="M38" s="307">
        <v>2030</v>
      </c>
      <c r="N38" s="308">
        <v>2031</v>
      </c>
      <c r="V38" s="387">
        <v>0.72</v>
      </c>
    </row>
    <row r="39" spans="4:22" s="314" customFormat="1" ht="15" customHeight="1" x14ac:dyDescent="0.2">
      <c r="D39" s="442" t="s">
        <v>202</v>
      </c>
      <c r="E39" s="443"/>
      <c r="F39" s="444"/>
      <c r="G39" s="310"/>
      <c r="H39" s="315"/>
      <c r="I39" s="315"/>
      <c r="J39" s="315"/>
      <c r="K39" s="315"/>
      <c r="L39" s="315"/>
      <c r="M39" s="315"/>
      <c r="N39" s="316"/>
      <c r="U39" s="388"/>
      <c r="V39" s="389">
        <v>0.74</v>
      </c>
    </row>
    <row r="40" spans="4:22" s="314" customFormat="1" ht="15" customHeight="1" x14ac:dyDescent="0.2">
      <c r="D40" s="327" t="s">
        <v>30</v>
      </c>
      <c r="E40" s="328"/>
      <c r="F40" s="329"/>
      <c r="G40" s="313">
        <v>4.3890614952103535</v>
      </c>
      <c r="H40" s="323">
        <v>4.7503461202103532</v>
      </c>
      <c r="I40" s="323">
        <v>4.4654573702103537</v>
      </c>
      <c r="J40" s="323">
        <v>4.2539706202103531</v>
      </c>
      <c r="K40" s="323">
        <v>4.0864718702103531</v>
      </c>
      <c r="L40" s="317"/>
      <c r="M40" s="317"/>
      <c r="N40" s="318"/>
      <c r="U40" s="388"/>
      <c r="V40" s="389">
        <v>0.76</v>
      </c>
    </row>
    <row r="41" spans="4:22" s="314" customFormat="1" ht="15" customHeight="1" x14ac:dyDescent="0.2">
      <c r="D41" s="429" t="s">
        <v>192</v>
      </c>
      <c r="E41" s="430"/>
      <c r="F41" s="431"/>
      <c r="G41" s="202">
        <v>0.66000000000000014</v>
      </c>
      <c r="H41" s="319">
        <v>0.66</v>
      </c>
      <c r="I41" s="319">
        <v>0.66</v>
      </c>
      <c r="J41" s="319">
        <v>0.66000000000000014</v>
      </c>
      <c r="K41" s="319">
        <v>0.66000000000000014</v>
      </c>
      <c r="L41" s="319"/>
      <c r="M41" s="319"/>
      <c r="N41" s="320"/>
      <c r="U41" s="388"/>
      <c r="V41" s="389">
        <v>0.78</v>
      </c>
    </row>
    <row r="42" spans="4:22" s="314" customFormat="1" ht="15" customHeight="1" x14ac:dyDescent="0.2">
      <c r="D42" s="442" t="s">
        <v>203</v>
      </c>
      <c r="E42" s="443"/>
      <c r="F42" s="444"/>
      <c r="G42" s="312"/>
      <c r="H42" s="321"/>
      <c r="I42" s="321"/>
      <c r="J42" s="321"/>
      <c r="K42" s="321"/>
      <c r="L42" s="321"/>
      <c r="M42" s="321"/>
      <c r="N42" s="322"/>
      <c r="U42" s="388"/>
      <c r="V42" s="389">
        <v>0.8</v>
      </c>
    </row>
    <row r="43" spans="4:22" s="314" customFormat="1" ht="15" customHeight="1" x14ac:dyDescent="0.2">
      <c r="D43" s="327" t="s">
        <v>30</v>
      </c>
      <c r="E43" s="328"/>
      <c r="F43" s="329"/>
      <c r="G43" s="313">
        <v>4.7511021873447286</v>
      </c>
      <c r="H43" s="323">
        <v>5.1188047577351163</v>
      </c>
      <c r="I43" s="323">
        <v>4.8339160077351169</v>
      </c>
      <c r="J43" s="323">
        <v>4.6224292577351163</v>
      </c>
      <c r="K43" s="323">
        <v>4.4292587261735648</v>
      </c>
      <c r="L43" s="323">
        <v>4.592484076497497</v>
      </c>
      <c r="M43" s="323">
        <v>4.5237733264974977</v>
      </c>
      <c r="N43" s="324">
        <v>4.4140765764974974</v>
      </c>
      <c r="U43" s="388"/>
      <c r="V43" s="389">
        <v>0.82</v>
      </c>
    </row>
    <row r="44" spans="4:22" s="314" customFormat="1" ht="15" customHeight="1" x14ac:dyDescent="0.2">
      <c r="D44" s="432" t="s">
        <v>192</v>
      </c>
      <c r="E44" s="433"/>
      <c r="F44" s="434"/>
      <c r="G44" s="311">
        <v>0.50278693768548988</v>
      </c>
      <c r="H44" s="325">
        <v>0.5</v>
      </c>
      <c r="I44" s="325">
        <v>0.5</v>
      </c>
      <c r="J44" s="325">
        <v>0.5</v>
      </c>
      <c r="K44" s="325">
        <v>0.51114775074195973</v>
      </c>
      <c r="L44" s="325">
        <v>0.41999999999999993</v>
      </c>
      <c r="M44" s="325">
        <v>0.41999999999999993</v>
      </c>
      <c r="N44" s="326">
        <v>0.41999999999999993</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8AAE5A4B-295A-4F73-94BB-856D0BBD1D37}">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163</v>
      </c>
    </row>
    <row r="4" spans="1:54" s="60" customFormat="1" ht="11.25" customHeight="1" x14ac:dyDescent="0.2">
      <c r="B4" s="134"/>
      <c r="C4" s="23"/>
    </row>
    <row r="5" spans="1:54" s="60" customFormat="1" ht="11.25" customHeight="1" x14ac:dyDescent="0.2">
      <c r="B5" s="135" t="s">
        <v>171</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288</v>
      </c>
      <c r="C11" s="146"/>
      <c r="D11" s="146"/>
      <c r="E11" s="146"/>
      <c r="F11" s="146"/>
      <c r="G11" s="146"/>
      <c r="H11" s="146"/>
      <c r="I11" s="146"/>
      <c r="J11" s="146"/>
      <c r="K11" s="146"/>
      <c r="L11" s="146"/>
      <c r="M11" s="146"/>
      <c r="N11" s="146"/>
      <c r="O11" s="146"/>
    </row>
    <row r="12" spans="1:54" x14ac:dyDescent="0.2">
      <c r="A12" s="60"/>
      <c r="B12" s="60" t="s">
        <v>43</v>
      </c>
      <c r="C12" s="59">
        <v>76.688640000000007</v>
      </c>
      <c r="D12" s="147">
        <v>74.056970000000007</v>
      </c>
      <c r="E12" s="147">
        <v>73.52037</v>
      </c>
      <c r="F12" s="147">
        <v>74.287980000000005</v>
      </c>
      <c r="G12" s="59" t="s">
        <v>47</v>
      </c>
      <c r="H12" s="59" t="s">
        <v>47</v>
      </c>
      <c r="I12" s="59" t="s">
        <v>47</v>
      </c>
      <c r="J12" s="59" t="s">
        <v>47</v>
      </c>
      <c r="K12" s="59" t="s">
        <v>47</v>
      </c>
      <c r="L12" s="59" t="s">
        <v>47</v>
      </c>
      <c r="M12" s="59" t="s">
        <v>47</v>
      </c>
      <c r="N12" s="59" t="s">
        <v>47</v>
      </c>
      <c r="O12" s="59" t="s">
        <v>47</v>
      </c>
    </row>
    <row r="13" spans="1:54" x14ac:dyDescent="0.2">
      <c r="A13" s="60"/>
      <c r="B13" s="60" t="s">
        <v>48</v>
      </c>
      <c r="C13" s="59">
        <v>-4.8520380000000003</v>
      </c>
      <c r="D13" s="147">
        <v>-4.121645</v>
      </c>
      <c r="E13" s="147">
        <v>-1.336916</v>
      </c>
      <c r="F13" s="147">
        <v>3.4885699999999999E-2</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-0.1086859</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-0.1919507</v>
      </c>
      <c r="D15" s="147">
        <v>9.56404E-2</v>
      </c>
      <c r="E15" s="147">
        <v>2.4978720000000001</v>
      </c>
      <c r="F15" s="147">
        <v>-0.13437760000000001</v>
      </c>
      <c r="G15" s="147">
        <v>0.1957401</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-1.8269799999999999E-2</v>
      </c>
      <c r="D16" s="147">
        <v>3.4867119999999998</v>
      </c>
      <c r="E16" s="147">
        <v>1.75285</v>
      </c>
      <c r="F16" s="147">
        <v>0.62550260000000002</v>
      </c>
      <c r="G16" s="147">
        <v>0.3284956</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287</v>
      </c>
      <c r="C17" s="59"/>
      <c r="D17" s="367">
        <v>0</v>
      </c>
      <c r="E17" s="367">
        <v>0</v>
      </c>
      <c r="F17" s="367">
        <v>1</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271</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16.0166</v>
      </c>
      <c r="E20" s="148">
        <f t="shared" si="0"/>
        <v>16.121750000000002</v>
      </c>
      <c r="F20" s="148">
        <f t="shared" si="0"/>
        <v>16.128519999999998</v>
      </c>
      <c r="G20" s="148">
        <f t="shared" si="0"/>
        <v>16.013810000000003</v>
      </c>
      <c r="H20" s="148">
        <f t="shared" si="0"/>
        <v>15.929929999999999</v>
      </c>
      <c r="I20" s="148">
        <f t="shared" si="0"/>
        <v>15.87402</v>
      </c>
      <c r="J20" s="148">
        <f t="shared" si="0"/>
        <v>15.87527</v>
      </c>
      <c r="K20" s="148">
        <f t="shared" si="0"/>
        <v>15.887590000000001</v>
      </c>
      <c r="L20" s="148">
        <f t="shared" si="0"/>
        <v>15.930810000000001</v>
      </c>
      <c r="M20" s="148">
        <f t="shared" si="0"/>
        <v>16.00994</v>
      </c>
      <c r="N20" s="148">
        <f t="shared" si="0"/>
        <v>16.10998</v>
      </c>
      <c r="O20" s="148">
        <f t="shared" si="0"/>
        <v>16.238250000000001</v>
      </c>
      <c r="P20" s="148">
        <f t="shared" si="0"/>
        <v>16.391590000000001</v>
      </c>
      <c r="Q20" s="148">
        <f t="shared" si="0"/>
        <v>16.5777</v>
      </c>
      <c r="R20" s="148">
        <f t="shared" si="0"/>
        <v>16.78951</v>
      </c>
      <c r="S20" s="148">
        <f t="shared" si="0"/>
        <v>17.006</v>
      </c>
      <c r="T20" s="148">
        <f t="shared" si="0"/>
        <v>17.227679999999999</v>
      </c>
      <c r="U20" s="148">
        <f t="shared" ref="U20:W20" si="1">(U21+U22+U23+U24-U25)</f>
        <v>17.461649999999999</v>
      </c>
      <c r="V20" s="148">
        <f t="shared" si="1"/>
        <v>17.708970000000001</v>
      </c>
      <c r="W20" s="148">
        <f t="shared" si="1"/>
        <v>17.97964</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7.7396099999999999</v>
      </c>
      <c r="E21" s="148">
        <v>7.8671199999999999</v>
      </c>
      <c r="F21" s="148">
        <v>7.8928200000000004</v>
      </c>
      <c r="G21" s="148">
        <v>7.790420000000001</v>
      </c>
      <c r="H21" s="148">
        <v>7.7091000000000003</v>
      </c>
      <c r="I21" s="148">
        <v>7.6495699999999998</v>
      </c>
      <c r="J21" s="148">
        <v>7.6407299999999996</v>
      </c>
      <c r="K21" s="148">
        <v>7.6369900000000008</v>
      </c>
      <c r="L21" s="148">
        <v>7.6546600000000007</v>
      </c>
      <c r="M21" s="148">
        <v>7.6959999999999997</v>
      </c>
      <c r="N21" s="148">
        <v>7.7574599999999991</v>
      </c>
      <c r="O21" s="148">
        <v>7.8446500000000006</v>
      </c>
      <c r="P21" s="148">
        <v>7.9574099999999994</v>
      </c>
      <c r="Q21" s="148">
        <v>8.1022099999999995</v>
      </c>
      <c r="R21" s="148">
        <v>8.2748699999999999</v>
      </c>
      <c r="S21" s="148">
        <v>8.4559800000000003</v>
      </c>
      <c r="T21" s="148">
        <v>8.6417099999999998</v>
      </c>
      <c r="U21" s="148">
        <v>8.8385599999999993</v>
      </c>
      <c r="V21" s="148">
        <v>9.0474200000000007</v>
      </c>
      <c r="W21" s="148">
        <v>9.2766699999999993</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4.2584799999999996</v>
      </c>
      <c r="E22" s="148">
        <v>4.2619700000000007</v>
      </c>
      <c r="F22" s="148">
        <v>4.2717199999999993</v>
      </c>
      <c r="G22" s="148">
        <v>4.2931100000000004</v>
      </c>
      <c r="H22" s="148">
        <v>4.3125099999999996</v>
      </c>
      <c r="I22" s="148">
        <v>4.3310500000000003</v>
      </c>
      <c r="J22" s="148">
        <v>4.3486400000000005</v>
      </c>
      <c r="K22" s="148">
        <v>4.3633900000000008</v>
      </c>
      <c r="L22" s="148">
        <v>4.3788999999999998</v>
      </c>
      <c r="M22" s="148">
        <v>4.3965100000000001</v>
      </c>
      <c r="N22" s="148">
        <v>4.4114000000000004</v>
      </c>
      <c r="O22" s="148">
        <v>4.4288300000000005</v>
      </c>
      <c r="P22" s="148">
        <v>4.4445399999999999</v>
      </c>
      <c r="Q22" s="148">
        <v>4.4614099999999999</v>
      </c>
      <c r="R22" s="148">
        <v>4.4789900000000005</v>
      </c>
      <c r="S22" s="148">
        <v>4.49627</v>
      </c>
      <c r="T22" s="148">
        <v>4.51363</v>
      </c>
      <c r="U22" s="148">
        <v>4.5304900000000004</v>
      </c>
      <c r="V22" s="148">
        <v>4.5481099999999994</v>
      </c>
      <c r="W22" s="148">
        <v>4.5703899999999997</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0.54631999999999992</v>
      </c>
      <c r="E23" s="148">
        <v>0.55472999999999995</v>
      </c>
      <c r="F23" s="148">
        <v>0.55762</v>
      </c>
      <c r="G23" s="148">
        <v>0.55986999999999998</v>
      </c>
      <c r="H23" s="148">
        <v>0.56280999999999992</v>
      </c>
      <c r="I23" s="148">
        <v>0.57182999999999995</v>
      </c>
      <c r="J23" s="148">
        <v>0.57812999999999992</v>
      </c>
      <c r="K23" s="148">
        <v>0.58609</v>
      </c>
      <c r="L23" s="148">
        <v>0.59515000000000007</v>
      </c>
      <c r="M23" s="148">
        <v>0.60429999999999995</v>
      </c>
      <c r="N23" s="148">
        <v>0.61316000000000004</v>
      </c>
      <c r="O23" s="148">
        <v>0.62215999999999994</v>
      </c>
      <c r="P23" s="148">
        <v>0.63245000000000007</v>
      </c>
      <c r="Q23" s="148">
        <v>0.64295000000000002</v>
      </c>
      <c r="R23" s="148">
        <v>0.65211999999999992</v>
      </c>
      <c r="S23" s="148">
        <v>0.65960000000000008</v>
      </c>
      <c r="T23" s="148">
        <v>0.66717000000000004</v>
      </c>
      <c r="U23" s="148">
        <v>0.67514999999999992</v>
      </c>
      <c r="V23" s="148">
        <v>0.68308999999999997</v>
      </c>
      <c r="W23" s="148">
        <v>0.69040999999999997</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3.4721899999999999</v>
      </c>
      <c r="E24" s="148">
        <v>3.4379300000000002</v>
      </c>
      <c r="F24" s="148">
        <v>3.4063599999999998</v>
      </c>
      <c r="G24" s="148">
        <v>3.3704100000000001</v>
      </c>
      <c r="H24" s="148">
        <v>3.34551</v>
      </c>
      <c r="I24" s="148">
        <v>3.3215699999999999</v>
      </c>
      <c r="J24" s="148">
        <v>3.3077700000000001</v>
      </c>
      <c r="K24" s="148">
        <v>3.3011199999999996</v>
      </c>
      <c r="L24" s="148">
        <v>3.3021000000000003</v>
      </c>
      <c r="M24" s="148">
        <v>3.3131300000000001</v>
      </c>
      <c r="N24" s="148">
        <v>3.32796</v>
      </c>
      <c r="O24" s="148">
        <v>3.3426100000000001</v>
      </c>
      <c r="P24" s="148">
        <v>3.3571900000000001</v>
      </c>
      <c r="Q24" s="148">
        <v>3.37113</v>
      </c>
      <c r="R24" s="148">
        <v>3.3835299999999999</v>
      </c>
      <c r="S24" s="148">
        <v>3.3941499999999998</v>
      </c>
      <c r="T24" s="148">
        <v>3.4051699999999996</v>
      </c>
      <c r="U24" s="148">
        <v>3.4174499999999997</v>
      </c>
      <c r="V24" s="148">
        <v>3.4303500000000002</v>
      </c>
      <c r="W24" s="148">
        <v>3.44217</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0</v>
      </c>
      <c r="E25" s="148">
        <v>0</v>
      </c>
      <c r="F25" s="148">
        <v>0</v>
      </c>
      <c r="G25" s="148">
        <v>0</v>
      </c>
      <c r="H25" s="148">
        <v>0</v>
      </c>
      <c r="I25" s="148">
        <v>0</v>
      </c>
      <c r="J25" s="148">
        <v>0</v>
      </c>
      <c r="K25" s="148">
        <v>0</v>
      </c>
      <c r="L25" s="148">
        <v>0</v>
      </c>
      <c r="M25" s="148">
        <v>0</v>
      </c>
      <c r="N25" s="148">
        <v>0</v>
      </c>
      <c r="O25" s="148">
        <v>0</v>
      </c>
      <c r="P25" s="148">
        <v>0</v>
      </c>
      <c r="Q25" s="148">
        <v>0</v>
      </c>
      <c r="R25" s="148">
        <v>0</v>
      </c>
      <c r="S25" s="148">
        <v>0</v>
      </c>
      <c r="T25" s="148">
        <v>0</v>
      </c>
      <c r="U25" s="148">
        <v>0</v>
      </c>
      <c r="V25" s="148">
        <v>0</v>
      </c>
      <c r="W25" s="148">
        <v>0</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0.53881259999999997</v>
      </c>
      <c r="D26" s="148">
        <v>1.182669</v>
      </c>
      <c r="E26" s="148">
        <v>1.1819139999999999</v>
      </c>
      <c r="F26" s="148">
        <v>1.18116</v>
      </c>
      <c r="G26" s="148">
        <v>1.1804049999999999</v>
      </c>
      <c r="H26" s="148">
        <v>1.179651</v>
      </c>
      <c r="I26" s="148">
        <v>1.1788959999999999</v>
      </c>
      <c r="J26" s="148">
        <v>1.178142</v>
      </c>
      <c r="K26" s="148">
        <v>1.177387</v>
      </c>
      <c r="L26" s="148">
        <v>1.176633</v>
      </c>
      <c r="M26" s="148">
        <v>1.175878</v>
      </c>
      <c r="N26" s="148">
        <v>1.1751240000000001</v>
      </c>
      <c r="O26" s="148">
        <v>1.1743699999999999</v>
      </c>
      <c r="P26" s="148">
        <v>1.1736150000000001</v>
      </c>
      <c r="Q26" s="148">
        <v>1.1728609999999999</v>
      </c>
      <c r="R26" s="148">
        <v>1.1721060000000001</v>
      </c>
      <c r="S26" s="148">
        <v>1.1713519999999999</v>
      </c>
      <c r="T26" s="148">
        <v>1.170598</v>
      </c>
      <c r="U26" s="148">
        <v>1.169843</v>
      </c>
      <c r="V26" s="148">
        <v>1.169089</v>
      </c>
      <c r="W26" s="148">
        <v>1.168334</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243</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7.0612209999999997</v>
      </c>
      <c r="D30" s="153">
        <v>4.5834080000000004</v>
      </c>
      <c r="E30" s="153">
        <v>-0.90768590000000005</v>
      </c>
      <c r="F30" s="153">
        <v>2.4166650000000001</v>
      </c>
      <c r="G30" s="153">
        <v>3.279118</v>
      </c>
      <c r="H30" s="153">
        <v>2.4094060000000002</v>
      </c>
      <c r="I30" s="153">
        <v>2.321186</v>
      </c>
      <c r="J30" s="153">
        <v>2.127246</v>
      </c>
      <c r="K30" s="153">
        <v>2.0546989999999998</v>
      </c>
      <c r="L30" s="153">
        <v>2.059733</v>
      </c>
      <c r="M30" s="153">
        <v>2.023784</v>
      </c>
      <c r="N30" s="153">
        <v>1.897527</v>
      </c>
      <c r="O30" s="153">
        <v>1.8826879999999999</v>
      </c>
      <c r="P30" s="154">
        <v>1.8447150000000001</v>
      </c>
      <c r="Q30" s="154">
        <v>1.8067390000000001</v>
      </c>
      <c r="R30" s="154">
        <v>1.76877</v>
      </c>
      <c r="S30" s="154">
        <v>1.761083</v>
      </c>
      <c r="T30" s="154">
        <v>1.7076499999999999</v>
      </c>
      <c r="U30" s="154">
        <v>1.652968</v>
      </c>
      <c r="V30" s="154">
        <v>1.6187590000000001</v>
      </c>
      <c r="W30" s="154">
        <v>1.6011329999999999</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201</v>
      </c>
      <c r="C31" s="152">
        <v>42098.46</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3.2826119999999999</v>
      </c>
      <c r="D33" s="153">
        <v>3.0577869999999998</v>
      </c>
      <c r="E33" s="153">
        <v>2.1468509999999998</v>
      </c>
      <c r="F33" s="153">
        <v>2.2002090000000001</v>
      </c>
      <c r="G33" s="153">
        <v>2.4702639999999998</v>
      </c>
      <c r="H33" s="153">
        <v>2.2591220000000001</v>
      </c>
      <c r="I33" s="153">
        <v>2.1213820000000001</v>
      </c>
      <c r="J33" s="153">
        <v>2.0276299999999998</v>
      </c>
      <c r="K33" s="153">
        <v>2.0547010000000001</v>
      </c>
      <c r="L33" s="153">
        <v>2.0597370000000002</v>
      </c>
      <c r="M33" s="153">
        <v>2.023787</v>
      </c>
      <c r="N33" s="153">
        <v>1.897526</v>
      </c>
      <c r="O33" s="153">
        <v>1.8826849999999999</v>
      </c>
      <c r="P33" s="154">
        <v>1.844713</v>
      </c>
      <c r="Q33" s="154">
        <v>1.8067409999999999</v>
      </c>
      <c r="R33" s="154">
        <v>1.768769</v>
      </c>
      <c r="S33" s="154">
        <v>1.7610859999999999</v>
      </c>
      <c r="T33" s="154">
        <v>1.7076499999999999</v>
      </c>
      <c r="U33" s="154">
        <v>1.6529670000000001</v>
      </c>
      <c r="V33" s="154">
        <v>1.6187560000000001</v>
      </c>
      <c r="W33" s="154">
        <v>1.601132</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201</v>
      </c>
      <c r="C34" s="152">
        <v>42044.3</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255</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3.2392629999999998</v>
      </c>
      <c r="D37" s="147">
        <v>4.4184200000000002</v>
      </c>
      <c r="E37" s="147">
        <v>7.2293640000000003</v>
      </c>
      <c r="F37" s="147">
        <v>7.2143069999999998</v>
      </c>
      <c r="G37" s="147">
        <v>5.985741</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10.32</v>
      </c>
      <c r="E38" s="147">
        <v>15.97</v>
      </c>
      <c r="F38" s="288">
        <v>7.4377000000000004</v>
      </c>
      <c r="G38" s="289">
        <v>6.4500719999999996</v>
      </c>
      <c r="H38" s="59"/>
    </row>
    <row r="39" spans="1:54" x14ac:dyDescent="0.2">
      <c r="A39" s="60"/>
      <c r="B39" s="149" t="s">
        <v>65</v>
      </c>
      <c r="D39" s="147">
        <v>7.57</v>
      </c>
      <c r="E39" s="147">
        <v>7.51</v>
      </c>
      <c r="F39" s="290">
        <v>6.852957</v>
      </c>
      <c r="G39" s="291">
        <v>7.0544219999999997</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256</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6.4392469999999999</v>
      </c>
      <c r="D42" s="147">
        <v>14.231339999999999</v>
      </c>
      <c r="E42" s="147">
        <v>14.74901</v>
      </c>
      <c r="F42" s="147">
        <v>5.300141</v>
      </c>
      <c r="G42" s="147">
        <v>3.7999740000000002</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257</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17.448349463228631</v>
      </c>
      <c r="D45" s="147">
        <v>22.366195594702013</v>
      </c>
      <c r="E45" s="147">
        <v>8.1638648438954018</v>
      </c>
      <c r="F45" s="147">
        <v>3.6361332673542281</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174</v>
      </c>
    </row>
    <row r="49" spans="1:5" x14ac:dyDescent="0.2">
      <c r="A49" s="60"/>
      <c r="B49" s="60" t="s">
        <v>68</v>
      </c>
      <c r="C49" s="63">
        <v>0.75</v>
      </c>
      <c r="D49" s="59"/>
      <c r="E49" s="60" t="s">
        <v>69</v>
      </c>
    </row>
    <row r="50" spans="1:5" x14ac:dyDescent="0.2">
      <c r="A50" s="60"/>
      <c r="B50" s="60" t="s">
        <v>258</v>
      </c>
      <c r="C50" s="59">
        <v>0.45300000000000001</v>
      </c>
      <c r="D50" s="59"/>
      <c r="E50" s="60" t="s">
        <v>70</v>
      </c>
    </row>
    <row r="51" spans="1:5" x14ac:dyDescent="0.2">
      <c r="A51" s="60"/>
      <c r="B51" s="60"/>
      <c r="C51" s="59"/>
      <c r="D51" s="59"/>
    </row>
    <row r="52" spans="1:5" x14ac:dyDescent="0.2">
      <c r="A52" s="60"/>
      <c r="B52" s="149" t="s">
        <v>247</v>
      </c>
      <c r="C52" s="161">
        <v>6.5248600000000003</v>
      </c>
      <c r="D52" s="59"/>
      <c r="E52" s="60" t="s">
        <v>71</v>
      </c>
    </row>
    <row r="53" spans="1:5" x14ac:dyDescent="0.2">
      <c r="A53" s="60"/>
      <c r="B53" s="149" t="s">
        <v>248</v>
      </c>
      <c r="C53" s="161">
        <v>6.2379300000000004</v>
      </c>
      <c r="D53" s="59"/>
      <c r="E53" s="60" t="s">
        <v>71</v>
      </c>
    </row>
    <row r="54" spans="1:5" x14ac:dyDescent="0.2">
      <c r="A54" s="60"/>
      <c r="B54" s="149" t="s">
        <v>249</v>
      </c>
      <c r="C54" s="147">
        <v>5</v>
      </c>
      <c r="D54" s="59"/>
      <c r="E54" s="60" t="s">
        <v>72</v>
      </c>
    </row>
    <row r="55" spans="1:5" x14ac:dyDescent="0.2">
      <c r="A55" s="60"/>
      <c r="B55" s="149" t="s">
        <v>250</v>
      </c>
      <c r="C55" s="147">
        <v>2.5</v>
      </c>
      <c r="D55" s="59"/>
      <c r="E55" s="60" t="s">
        <v>72</v>
      </c>
    </row>
    <row r="56" spans="1:5" x14ac:dyDescent="0.2">
      <c r="A56" s="60"/>
      <c r="B56" s="149"/>
      <c r="C56" s="59"/>
      <c r="D56" s="59"/>
    </row>
    <row r="57" spans="1:5" x14ac:dyDescent="0.2">
      <c r="A57" s="60"/>
      <c r="B57" s="60" t="s">
        <v>73</v>
      </c>
      <c r="C57" s="152">
        <v>6.4526799999999995E-2</v>
      </c>
      <c r="D57" s="197"/>
      <c r="E57" s="300" t="s">
        <v>175</v>
      </c>
    </row>
    <row r="58" spans="1:5" x14ac:dyDescent="0.2">
      <c r="A58" s="60"/>
      <c r="B58" s="60" t="s">
        <v>74</v>
      </c>
      <c r="C58" s="34">
        <f>1-C57</f>
        <v>0.9354732</v>
      </c>
      <c r="E58" s="300" t="s">
        <v>175</v>
      </c>
    </row>
    <row r="59" spans="1:5" x14ac:dyDescent="0.2">
      <c r="A59" s="60"/>
      <c r="B59" s="60" t="s">
        <v>251</v>
      </c>
      <c r="C59" s="152">
        <v>7.8075729999999996E-2</v>
      </c>
      <c r="E59" s="300" t="s">
        <v>176</v>
      </c>
    </row>
    <row r="60" spans="1:5" x14ac:dyDescent="0.2">
      <c r="A60" s="60"/>
      <c r="B60" s="60"/>
      <c r="C60" s="152"/>
    </row>
    <row r="61" spans="1:5" x14ac:dyDescent="0.2">
      <c r="A61" s="60"/>
      <c r="B61" s="60" t="s">
        <v>252</v>
      </c>
      <c r="C61" s="162">
        <v>3.21</v>
      </c>
      <c r="E61" s="60" t="s">
        <v>75</v>
      </c>
    </row>
    <row r="62" spans="1:5" x14ac:dyDescent="0.2">
      <c r="A62" s="60"/>
      <c r="B62" s="60" t="s">
        <v>253</v>
      </c>
      <c r="C62" s="152">
        <v>3</v>
      </c>
      <c r="E62" s="60" t="s">
        <v>76</v>
      </c>
    </row>
    <row r="63" spans="1:5" x14ac:dyDescent="0.2">
      <c r="A63" s="60"/>
      <c r="B63" s="60"/>
      <c r="C63" s="152"/>
      <c r="E63" s="60"/>
    </row>
    <row r="64" spans="1:5" x14ac:dyDescent="0.2">
      <c r="A64" s="60"/>
      <c r="B64" s="60" t="s">
        <v>246</v>
      </c>
      <c r="C64" s="147">
        <v>43.424141465335296</v>
      </c>
      <c r="E64" s="60" t="s">
        <v>242</v>
      </c>
    </row>
    <row r="65" spans="1:7" x14ac:dyDescent="0.2">
      <c r="A65" s="60"/>
      <c r="B65" s="60"/>
      <c r="C65" s="152"/>
      <c r="E65" s="60"/>
    </row>
    <row r="66" spans="1:7" x14ac:dyDescent="0.2">
      <c r="A66" s="60"/>
      <c r="B66" s="60" t="s">
        <v>77</v>
      </c>
      <c r="C66" s="166">
        <v>0.80726284102630708</v>
      </c>
      <c r="D66" s="1"/>
      <c r="E66" s="60" t="s">
        <v>78</v>
      </c>
    </row>
    <row r="67" spans="1:7" x14ac:dyDescent="0.2">
      <c r="A67" s="60"/>
      <c r="B67" s="299" t="s">
        <v>177</v>
      </c>
      <c r="C67" s="166">
        <v>5.1711986056140288E-2</v>
      </c>
      <c r="D67" s="1"/>
      <c r="E67" s="60" t="s">
        <v>78</v>
      </c>
    </row>
    <row r="68" spans="1:7" x14ac:dyDescent="0.2">
      <c r="A68" s="60"/>
      <c r="B68" s="299" t="s">
        <v>178</v>
      </c>
      <c r="C68" s="166">
        <v>5.3611469656401005E-2</v>
      </c>
      <c r="D68" s="1"/>
      <c r="E68" s="60" t="s">
        <v>78</v>
      </c>
    </row>
    <row r="69" spans="1:7" x14ac:dyDescent="0.2">
      <c r="A69" s="60"/>
      <c r="B69" s="149" t="s">
        <v>79</v>
      </c>
      <c r="C69" s="166">
        <v>8.2278372987714718E-2</v>
      </c>
      <c r="D69" s="1"/>
      <c r="E69" s="60" t="s">
        <v>78</v>
      </c>
    </row>
    <row r="70" spans="1:7" x14ac:dyDescent="0.2">
      <c r="A70" s="60"/>
      <c r="B70" s="149" t="s">
        <v>80</v>
      </c>
      <c r="C70" s="166">
        <v>5.1352654584706876E-3</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179</v>
      </c>
      <c r="C74" s="34">
        <v>-9.3209877014160156</v>
      </c>
      <c r="D74" s="34">
        <v>-13.01397705078125</v>
      </c>
      <c r="E74" s="34">
        <v>-15.334564208984375</v>
      </c>
      <c r="F74" s="34">
        <v>-17.650295257568359</v>
      </c>
      <c r="G74" s="34">
        <v>-19.536964416503906</v>
      </c>
    </row>
    <row r="75" spans="1:7" x14ac:dyDescent="0.2">
      <c r="A75" s="60"/>
      <c r="B75" s="300" t="s">
        <v>180</v>
      </c>
      <c r="C75" s="34">
        <v>-3.806549072265625</v>
      </c>
      <c r="D75" s="34">
        <v>-5.3011322021484375</v>
      </c>
      <c r="E75" s="34">
        <v>-6.3648338317871094</v>
      </c>
      <c r="F75" s="34">
        <v>-7.2958259582519531</v>
      </c>
      <c r="G75" s="34">
        <v>-8.0173225402832031</v>
      </c>
    </row>
    <row r="76" spans="1:7" x14ac:dyDescent="0.2">
      <c r="A76" s="60"/>
      <c r="B76" s="300" t="s">
        <v>181</v>
      </c>
      <c r="C76" s="34">
        <v>3.887237548828125</v>
      </c>
      <c r="D76" s="34">
        <v>5.3889923095703125</v>
      </c>
      <c r="E76" s="34">
        <v>6.7794723510742188</v>
      </c>
      <c r="F76" s="34">
        <v>7.7848396301269531</v>
      </c>
      <c r="G76" s="34">
        <v>8.6870536804199219</v>
      </c>
    </row>
    <row r="77" spans="1:7" x14ac:dyDescent="0.2">
      <c r="A77" s="60"/>
      <c r="B77" s="300" t="s">
        <v>182</v>
      </c>
      <c r="C77" s="34">
        <v>9.6283416748046875</v>
      </c>
      <c r="D77" s="34">
        <v>13.918350219726563</v>
      </c>
      <c r="E77" s="34">
        <v>16.86865234375</v>
      </c>
      <c r="F77" s="34">
        <v>19.599658966064453</v>
      </c>
      <c r="G77" s="34">
        <v>21.902103424072266</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HU</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-4.8520380000000003</v>
      </c>
      <c r="D12" s="1">
        <f>'Input data'!D13</f>
        <v>-4.121645</v>
      </c>
      <c r="E12" s="2">
        <f>'Input data'!E13</f>
        <v>-1.336916</v>
      </c>
      <c r="F12" s="2">
        <f>'Input data'!F13</f>
        <v>3.4885699999999999E-2</v>
      </c>
      <c r="G12" s="1">
        <f>F12</f>
        <v>3.4885699999999999E-2</v>
      </c>
      <c r="H12" s="1">
        <f t="shared" ref="H12:W12" si="0">G12</f>
        <v>3.4885699999999999E-2</v>
      </c>
      <c r="I12" s="1">
        <f t="shared" si="0"/>
        <v>3.4885699999999999E-2</v>
      </c>
      <c r="J12" s="1">
        <f t="shared" si="0"/>
        <v>3.4885699999999999E-2</v>
      </c>
      <c r="K12" s="1">
        <f t="shared" si="0"/>
        <v>3.4885699999999999E-2</v>
      </c>
      <c r="L12" s="1">
        <f t="shared" si="0"/>
        <v>3.4885699999999999E-2</v>
      </c>
      <c r="M12" s="1">
        <f t="shared" si="0"/>
        <v>3.4885699999999999E-2</v>
      </c>
      <c r="N12" s="1">
        <f t="shared" si="0"/>
        <v>3.4885699999999999E-2</v>
      </c>
      <c r="O12" s="1">
        <f t="shared" si="0"/>
        <v>3.4885699999999999E-2</v>
      </c>
      <c r="P12" s="1">
        <f t="shared" si="0"/>
        <v>3.4885699999999999E-2</v>
      </c>
      <c r="Q12" s="1">
        <f t="shared" si="0"/>
        <v>3.4885699999999999E-2</v>
      </c>
      <c r="R12" s="1">
        <f t="shared" si="0"/>
        <v>3.4885699999999999E-2</v>
      </c>
      <c r="S12" s="1">
        <f t="shared" si="0"/>
        <v>3.4885699999999999E-2</v>
      </c>
      <c r="T12" s="1">
        <f t="shared" si="0"/>
        <v>3.4885699999999999E-2</v>
      </c>
      <c r="U12" s="1">
        <f t="shared" si="0"/>
        <v>3.4885699999999999E-2</v>
      </c>
      <c r="V12" s="1">
        <f t="shared" si="0"/>
        <v>3.4885699999999999E-2</v>
      </c>
      <c r="W12" s="1">
        <f t="shared" si="0"/>
        <v>3.4885699999999999E-2</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-0.1086859</v>
      </c>
      <c r="D13" s="1">
        <f>'Input data'!D14</f>
        <v>0</v>
      </c>
      <c r="E13" s="2">
        <f>'Input data'!E14</f>
        <v>0</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-0.1919507</v>
      </c>
      <c r="D14" s="1">
        <f>'Input data'!D15</f>
        <v>9.56404E-2</v>
      </c>
      <c r="E14" s="2">
        <f>'Input data'!E15</f>
        <v>2.4978720000000001</v>
      </c>
      <c r="F14" s="2">
        <f>'Input data'!F15</f>
        <v>-0.13437760000000001</v>
      </c>
      <c r="G14" s="2">
        <f>'Input data'!G15</f>
        <v>0.1957401</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16.0166</v>
      </c>
      <c r="E17" s="101">
        <f>'Input data'!E20</f>
        <v>16.121750000000002</v>
      </c>
      <c r="F17" s="101">
        <f>'Input data'!F20</f>
        <v>16.128519999999998</v>
      </c>
      <c r="G17" s="101">
        <f>'Input data'!G20</f>
        <v>16.013810000000003</v>
      </c>
      <c r="H17" s="101">
        <f>'Input data'!H20</f>
        <v>15.929929999999999</v>
      </c>
      <c r="I17" s="101">
        <f>'Input data'!I20</f>
        <v>15.87402</v>
      </c>
      <c r="J17" s="101">
        <f>'Input data'!J20</f>
        <v>15.87527</v>
      </c>
      <c r="K17" s="101">
        <f>'Input data'!K20</f>
        <v>15.887590000000001</v>
      </c>
      <c r="L17" s="101">
        <f>'Input data'!L20</f>
        <v>15.930810000000001</v>
      </c>
      <c r="M17" s="101">
        <f>'Input data'!M20</f>
        <v>16.00994</v>
      </c>
      <c r="N17" s="101">
        <f>'Input data'!N20</f>
        <v>16.10998</v>
      </c>
      <c r="O17" s="101">
        <f>'Input data'!O20</f>
        <v>16.238250000000001</v>
      </c>
      <c r="P17" s="101">
        <f>'Input data'!P20</f>
        <v>16.391590000000001</v>
      </c>
      <c r="Q17" s="101">
        <f>'Input data'!Q20</f>
        <v>16.5777</v>
      </c>
      <c r="R17" s="101">
        <f>'Input data'!R20</f>
        <v>16.78951</v>
      </c>
      <c r="S17" s="101">
        <f>'Input data'!S20</f>
        <v>17.006</v>
      </c>
      <c r="T17" s="101">
        <f>'Input data'!T20</f>
        <v>17.227679999999999</v>
      </c>
      <c r="U17" s="101">
        <f>'Input data'!U20</f>
        <v>17.461649999999999</v>
      </c>
      <c r="V17" s="101">
        <f>'Input data'!V20</f>
        <v>17.708970000000001</v>
      </c>
      <c r="W17" s="101">
        <f>'Input data'!W20</f>
        <v>17.97964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0.53881259999999997</v>
      </c>
      <c r="D18" s="1">
        <f>'Input data'!D26</f>
        <v>1.182669</v>
      </c>
      <c r="E18" s="101">
        <f>'Input data'!E26</f>
        <v>1.1819139999999999</v>
      </c>
      <c r="F18" s="101">
        <f>'Input data'!F26</f>
        <v>1.18116</v>
      </c>
      <c r="G18" s="101">
        <f>'Input data'!G26</f>
        <v>1.1804049999999999</v>
      </c>
      <c r="H18" s="101">
        <f>'Input data'!H26</f>
        <v>1.179651</v>
      </c>
      <c r="I18" s="101">
        <f>'Input data'!I26</f>
        <v>1.1788959999999999</v>
      </c>
      <c r="J18" s="101">
        <f>'Input data'!J26</f>
        <v>1.178142</v>
      </c>
      <c r="K18" s="101">
        <f>'Input data'!K26</f>
        <v>1.177387</v>
      </c>
      <c r="L18" s="101">
        <f>'Input data'!L26</f>
        <v>1.176633</v>
      </c>
      <c r="M18" s="101">
        <f>'Input data'!M26</f>
        <v>1.175878</v>
      </c>
      <c r="N18" s="101">
        <f>'Input data'!N26</f>
        <v>1.1751240000000001</v>
      </c>
      <c r="O18" s="101">
        <f>'Input data'!O26</f>
        <v>1.1743699999999999</v>
      </c>
      <c r="P18" s="101">
        <f>'Input data'!P26</f>
        <v>1.1736150000000001</v>
      </c>
      <c r="Q18" s="101">
        <f>'Input data'!Q26</f>
        <v>1.1728609999999999</v>
      </c>
      <c r="R18" s="101">
        <f>'Input data'!R26</f>
        <v>1.1721060000000001</v>
      </c>
      <c r="S18" s="101">
        <f>'Input data'!S26</f>
        <v>1.1713519999999999</v>
      </c>
      <c r="T18" s="101">
        <f>'Input data'!T26</f>
        <v>1.170598</v>
      </c>
      <c r="U18" s="101">
        <f>'Input data'!U26</f>
        <v>1.169843</v>
      </c>
      <c r="V18" s="101">
        <f>'Input data'!V26</f>
        <v>1.169089</v>
      </c>
      <c r="W18" s="101">
        <f>'Input data'!W26</f>
        <v>1.168334</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42098.46</v>
      </c>
      <c r="D22" s="34">
        <f>C22*(D23/100+1)</f>
        <v>44028.004183516801</v>
      </c>
      <c r="E22" s="100">
        <f t="shared" ref="E22:F22" si="1">D22*(E23/100+1)</f>
        <v>43628.368197491611</v>
      </c>
      <c r="F22" s="100">
        <f t="shared" si="1"/>
        <v>44682.719701791517</v>
      </c>
      <c r="G22" s="100">
        <f>F22*(G23/100+1)</f>
        <v>46147.918806422509</v>
      </c>
      <c r="H22" s="34">
        <f>IF(AND(H49&gt;1,G49&gt;1),IF(AND(H49&gt;0,G49&gt;0),H26*(H50/100+1),0)+IF(H49&gt;0,G22*(1+H51/100),0)-G22*(1+'Input data'!H30/100),IF(H49=1,H26,G22*(1+H51/100)))</f>
        <v>47259.809531019579</v>
      </c>
      <c r="I22" s="34">
        <f>IF(AND(I49&gt;1,H49&gt;1),IF(AND(I49&gt;0,H49&gt;0),I26*(I50/100+1),0)+IF(I49&gt;0,H22*(1+I51/100),0)-H22*(1+'Input data'!I30/100),IF(I49=1,I26,H22*(1+I51/100)))</f>
        <v>48356.797613480267</v>
      </c>
      <c r="J22" s="34">
        <f>IF(AND(J49&gt;1,I49&gt;1),IF(AND(J49&gt;0,I49&gt;0),J26*(J50/100+1),0)+IF(J49&gt;0,I22*(1+J51/100),0)-I22*(1+'Input data'!J30/100),IF(J49=1,J26,I22*(1+J51/100)))</f>
        <v>49385.46565644112</v>
      </c>
      <c r="K22" s="34">
        <f>IF(AND(K49&gt;1,J49&gt;1),IF(AND(K49&gt;0,J49&gt;0),K26*(K50/100+1),0)+IF(K49&gt;0,J22*(1+K51/100),0)-J22*(1+'Input data'!K30/100),IF(K49=1,K26,J22*(1+K51/100)))</f>
        <v>50400.188325429357</v>
      </c>
      <c r="L22" s="34">
        <f>IF(AND(L49&gt;1,K49&gt;1),IF(AND(L49&gt;0,K49&gt;0),L26*(L50/100+1),0)+IF(L49&gt;0,K22*(1+L51/100),0)-K22*(1+'Input data'!L30/100),IF(L49=1,L26,K22*(1+L51/100)))</f>
        <v>51438.297636430369</v>
      </c>
      <c r="M22" s="34">
        <f>IF(AND(M49&gt;1,L49&gt;1),IF(AND(M49&gt;0,L49&gt;0),M26*(M50/100+1),0)+IF(M49&gt;0,L22*(1+M51/100),0)-L22*(1+'Input data'!M30/100),IF(M49=1,M26,L22*(1+M51/100)))</f>
        <v>52479.29767386883</v>
      </c>
      <c r="N22" s="34">
        <f>IF(AND(N49&gt;1,M49&gt;1),IF(AND(N49&gt;0,M49&gt;0),N26*(N50/100+1),0)+IF(N49&gt;0,M22*(1+N51/100),0)-M22*(1+'Input data'!N30/100),IF(N49=1,N26,M22*(1+N51/100)))</f>
        <v>53475.106516640866</v>
      </c>
      <c r="O22" s="34">
        <f>IF(AND(O49&gt;1,N49&gt;1),IF(AND(O49&gt;0,N49&gt;0),O26*(O50/100+1),0)+IF(O49&gt;0,N22*(1+O51/100),0)-N22*(1+'Input data'!O30/100),IF(O49=1,O26,N22*(1+O51/100)))</f>
        <v>54481.875930016882</v>
      </c>
      <c r="P22" s="34">
        <f>IF(AND(P49&gt;1,O49&gt;1),IF(AND(P49&gt;0,O49&gt;0),P26*(P50/100+1),0)+IF(P49&gt;0,O22*(1+P51/100),0)-O22*(1+'Input data'!P30/100),IF(P49=1,P26,O22*(1+P51/100)))</f>
        <v>55486.9112675793</v>
      </c>
      <c r="Q22" s="34">
        <f>IF(AND(Q49&gt;1,P49&gt;1),IF(AND(Q49&gt;0,P49&gt;0),Q26*(Q50/100+1),0)+IF(Q49&gt;0,P22*(1+Q51/100),0)-P22*(1+'Input data'!Q30/100),IF(Q49=1,Q26,P22*(1+Q51/100)))</f>
        <v>56489.414933346045</v>
      </c>
      <c r="R22" s="34">
        <f>IF(AND(R49&gt;1,Q49&gt;1),IF(AND(R49&gt;0,Q49&gt;0),R26*(R50/100+1),0)+IF(R49&gt;0,Q22*(1+R51/100),0)-Q22*(1+'Input data'!R30/100),IF(R49=1,R26,Q22*(1+R51/100)))</f>
        <v>57488.58275786259</v>
      </c>
      <c r="S22" s="34">
        <f>IF(AND(S49&gt;1,R49&gt;1),IF(AND(S49&gt;0,R49&gt;0),S26*(S50/100+1),0)+IF(S49&gt;0,R22*(1+S51/100),0)-R22*(1+'Input data'!S30/100),IF(S49=1,S26,R22*(1+S51/100)))</f>
        <v>58501.004415752235</v>
      </c>
      <c r="T22" s="34">
        <f>IF(AND(T49&gt;1,S49&gt;1),IF(AND(T49&gt;0,S49&gt;0),T26*(T50/100+1),0)+IF(T49&gt;0,S22*(1+T51/100),0)-S22*(1+'Input data'!T30/100),IF(T49=1,T26,S22*(1+T51/100)))</f>
        <v>59499.996817657826</v>
      </c>
      <c r="U22" s="34">
        <f>IF(AND(U49&gt;1,T49&gt;1),IF(AND(U49&gt;0,T49&gt;0),U26*(U50/100+1),0)+IF(U49&gt;0,T22*(1+U51/100),0)-T22*(1+'Input data'!U30/100),IF(U49=1,U26,T22*(1+U51/100)))</f>
        <v>60483.512725054738</v>
      </c>
      <c r="V22" s="34">
        <f>IF(AND(V49&gt;1,U49&gt;1),IF(AND(V49&gt;0,U49&gt;0),V26*(V50/100+1),0)+IF(V49&gt;0,U22*(1+V51/100),0)-U22*(1+'Input data'!V30/100),IF(V49=1,V26,U22*(1+V51/100)))</f>
        <v>61462.595030807701</v>
      </c>
      <c r="W22" s="34">
        <f>IF(AND(W49&gt;1,V49&gt;1),IF(AND(W49&gt;0,V49&gt;0),W26*(W50/100+1),0)+IF(W49&gt;0,V22*(1+W51/100),0)-V22*(1+'Input data'!W30/100),IF(W49=1,W26,V22*(1+W51/100)))</f>
        <v>62446.69292250232</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7.0612209999999997</v>
      </c>
      <c r="D23" s="34">
        <f>+'Input data'!D30</f>
        <v>4.5834080000000004</v>
      </c>
      <c r="E23" s="100">
        <f>+'Input data'!E30</f>
        <v>-0.90768590000000005</v>
      </c>
      <c r="F23" s="100">
        <f>+'Input data'!F30</f>
        <v>2.4166650000000001</v>
      </c>
      <c r="G23" s="100">
        <f>+'Input data'!G30</f>
        <v>3.279118</v>
      </c>
      <c r="H23" s="34">
        <f>100*(H22/G22-1)</f>
        <v>2.4094059999999917</v>
      </c>
      <c r="I23" s="34">
        <f>100*(I22/H22-1)</f>
        <v>2.3211859999999973</v>
      </c>
      <c r="J23" s="34">
        <f t="shared" ref="J23:T23" si="2">100*(J22/I22-1)</f>
        <v>2.1272460000000049</v>
      </c>
      <c r="K23" s="34">
        <f t="shared" si="2"/>
        <v>2.0546989999999932</v>
      </c>
      <c r="L23" s="34">
        <f t="shared" si="2"/>
        <v>2.0597329999999969</v>
      </c>
      <c r="M23" s="34">
        <f t="shared" si="2"/>
        <v>2.0237840000000062</v>
      </c>
      <c r="N23" s="34">
        <f t="shared" si="2"/>
        <v>1.89752700000001</v>
      </c>
      <c r="O23" s="34">
        <f t="shared" si="2"/>
        <v>1.882687999999999</v>
      </c>
      <c r="P23" s="34">
        <f t="shared" si="2"/>
        <v>1.8447150000000079</v>
      </c>
      <c r="Q23" s="34">
        <f t="shared" si="2"/>
        <v>1.8067389999999905</v>
      </c>
      <c r="R23" s="34">
        <f t="shared" si="2"/>
        <v>1.7687699999999973</v>
      </c>
      <c r="S23" s="34">
        <f t="shared" si="2"/>
        <v>1.7610829999999966</v>
      </c>
      <c r="T23" s="34">
        <f t="shared" si="2"/>
        <v>1.7076499999999939</v>
      </c>
      <c r="U23" s="34">
        <f t="shared" ref="U23" si="3">100*(U22/T22-1)</f>
        <v>1.6529680000000102</v>
      </c>
      <c r="V23" s="34">
        <f t="shared" ref="V23" si="4">100*(V22/U22-1)</f>
        <v>1.6187589999999918</v>
      </c>
      <c r="W23" s="34">
        <f t="shared" ref="W23" si="5">100*(W22/V22-1)</f>
        <v>1.601132999999999</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42044.3</v>
      </c>
      <c r="D26" s="34">
        <f>+C26*(1+'Input data'!D33/100)</f>
        <v>43329.925139640996</v>
      </c>
      <c r="E26" s="100">
        <f>+D26*(1+'Input data'!E33/100)</f>
        <v>44260.154070800636</v>
      </c>
      <c r="F26" s="100">
        <f>+E26*(1+'Input data'!F33/100)</f>
        <v>45233.969964080257</v>
      </c>
      <c r="G26" s="100">
        <f>+F26*(1+'Input data'!G33/100)</f>
        <v>46351.368439873753</v>
      </c>
      <c r="H26" s="34">
        <f>+G26*(1+'Input data'!H33/100)</f>
        <v>47398.502401600002</v>
      </c>
      <c r="I26" s="34">
        <f>+H26*(1+'Input data'!I33/100)</f>
        <v>48404.005699817113</v>
      </c>
      <c r="J26" s="34">
        <f>+I26*(1+'Input data'!J33/100)</f>
        <v>49385.459840588308</v>
      </c>
      <c r="K26" s="34">
        <f>+J26*(1+'Input data'!K33/100)</f>
        <v>50400.183377787478</v>
      </c>
      <c r="L26" s="34">
        <f>+K26*(1+'Input data'!L33/100)</f>
        <v>51438.29460288761</v>
      </c>
      <c r="M26" s="34">
        <f>+L26*(1+'Input data'!M33/100)</f>
        <v>52479.29612208256</v>
      </c>
      <c r="N26" s="34">
        <f>+M26*(1+'Input data'!N33/100)</f>
        <v>53475.104410616063</v>
      </c>
      <c r="O26" s="34">
        <f>+N26*(1+'Input data'!O33/100)</f>
        <v>54481.872180089063</v>
      </c>
      <c r="P26" s="34">
        <f>+O26*(1+'Input data'!P33/100)</f>
        <v>55486.906358838547</v>
      </c>
      <c r="Q26" s="34">
        <f>+P26*(1+'Input data'!Q33/100)</f>
        <v>56489.411045655288</v>
      </c>
      <c r="R26" s="34">
        <f>+Q26*(1+'Input data'!R33/100)</f>
        <v>57488.578236513415</v>
      </c>
      <c r="S26" s="34">
        <f>+R26*(1+'Input data'!S33/100)</f>
        <v>58501.001539435696</v>
      </c>
      <c r="T26" s="34">
        <f>+S26*(1+'Input data'!T33/100)</f>
        <v>59499.993892223865</v>
      </c>
      <c r="U26" s="34">
        <f>+T26*(1+'Input data'!U33/100)</f>
        <v>60483.509156264336</v>
      </c>
      <c r="V26" s="34">
        <f>+U26*(1+'Input data'!V33/100)</f>
        <v>61462.589589741918</v>
      </c>
      <c r="W26" s="34">
        <f>+V26*(1+'Input data'!W33/100)</f>
        <v>62446.686779691947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0.12881651020471008</v>
      </c>
      <c r="D29" s="34">
        <f t="shared" si="6"/>
        <v>1.6110783520305594</v>
      </c>
      <c r="E29" s="100">
        <f t="shared" si="6"/>
        <v>-1.4274371306940981</v>
      </c>
      <c r="F29" s="100">
        <f t="shared" si="6"/>
        <v>-1.2186643417026688</v>
      </c>
      <c r="G29" s="100">
        <f t="shared" si="6"/>
        <v>-0.43892907652803848</v>
      </c>
      <c r="H29" s="34">
        <f>100*(H22/H26-1)</f>
        <v>-0.2926102377777684</v>
      </c>
      <c r="I29" s="34">
        <f t="shared" si="6"/>
        <v>-9.7529296706588831E-2</v>
      </c>
      <c r="J29" s="34">
        <f t="shared" si="6"/>
        <v>1.1776447617073416E-5</v>
      </c>
      <c r="K29" s="34">
        <f t="shared" si="6"/>
        <v>9.8167140416549614E-6</v>
      </c>
      <c r="L29" s="34">
        <f t="shared" si="6"/>
        <v>5.8974403804867848E-6</v>
      </c>
      <c r="M29" s="34">
        <f t="shared" si="6"/>
        <v>2.9569494630621307E-6</v>
      </c>
      <c r="N29" s="34">
        <f t="shared" si="6"/>
        <v>3.9383276195792405E-6</v>
      </c>
      <c r="O29" s="34">
        <f t="shared" si="6"/>
        <v>6.8828909016716011E-6</v>
      </c>
      <c r="P29" s="34">
        <f t="shared" si="6"/>
        <v>8.8466650449703366E-6</v>
      </c>
      <c r="Q29" s="34">
        <f t="shared" si="6"/>
        <v>6.8821584209288744E-6</v>
      </c>
      <c r="R29" s="34">
        <f t="shared" si="6"/>
        <v>7.864778206467804E-6</v>
      </c>
      <c r="S29" s="34">
        <f t="shared" si="6"/>
        <v>4.9166962279301174E-6</v>
      </c>
      <c r="T29" s="34">
        <f t="shared" si="6"/>
        <v>4.9166962279301174E-6</v>
      </c>
      <c r="U29" s="34">
        <f t="shared" ref="U29:W29" si="7">100*(U22/U26-1)</f>
        <v>5.900435429140316E-6</v>
      </c>
      <c r="V29" s="34">
        <f t="shared" si="7"/>
        <v>8.8526465047422676E-6</v>
      </c>
      <c r="W29" s="34">
        <f t="shared" si="7"/>
        <v>9.8368875711685178E-6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13.955157461405875</v>
      </c>
      <c r="D32" s="1">
        <f t="shared" si="8"/>
        <v>19.467028376067198</v>
      </c>
      <c r="E32" s="2">
        <f t="shared" si="8"/>
        <v>13.707449415840411</v>
      </c>
      <c r="F32" s="2">
        <f t="shared" si="8"/>
        <v>7.8448926524976592</v>
      </c>
      <c r="G32" s="2">
        <f>100*((1+G23/100)*(1+G41/100)-1)</f>
        <v>7.2036976314293399</v>
      </c>
      <c r="H32" s="1">
        <f>100*((1+H23/100)*(1+H41/100)-1)</f>
        <v>6.2254131929351253</v>
      </c>
      <c r="I32" s="1">
        <f t="shared" si="8"/>
        <v>6.0584473660187266</v>
      </c>
      <c r="J32" s="1">
        <f t="shared" si="8"/>
        <v>5.7821082205475216</v>
      </c>
      <c r="K32" s="1">
        <f t="shared" si="8"/>
        <v>5.6317029328391222</v>
      </c>
      <c r="L32" s="1">
        <f t="shared" si="8"/>
        <v>5.5616476377385204</v>
      </c>
      <c r="M32" s="1">
        <f t="shared" si="8"/>
        <v>5.4492259162540524</v>
      </c>
      <c r="N32" s="1">
        <f t="shared" si="8"/>
        <v>5.2435837311928912</v>
      </c>
      <c r="O32" s="1">
        <f t="shared" si="8"/>
        <v>5.1531222848000047</v>
      </c>
      <c r="P32" s="1">
        <f t="shared" si="8"/>
        <v>5.1032366564250031</v>
      </c>
      <c r="Q32" s="1">
        <f t="shared" si="8"/>
        <v>5.0533559067099887</v>
      </c>
      <c r="R32" s="1">
        <f t="shared" si="8"/>
        <v>5.003490354450002</v>
      </c>
      <c r="S32" s="1">
        <f t="shared" si="8"/>
        <v>4.9848741094399962</v>
      </c>
      <c r="T32" s="1">
        <f t="shared" si="8"/>
        <v>4.9190690487499911</v>
      </c>
      <c r="U32" s="1">
        <f t="shared" si="8"/>
        <v>4.851986902960026</v>
      </c>
      <c r="V32" s="1">
        <f t="shared" si="8"/>
        <v>4.8060313760349915</v>
      </c>
      <c r="W32" s="1">
        <f t="shared" si="8"/>
        <v>4.777184417580016</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3.2392629999999998</v>
      </c>
      <c r="D35" s="1">
        <f>'Input data'!D37</f>
        <v>4.4184200000000002</v>
      </c>
      <c r="E35" s="2">
        <f>'Input data'!E37</f>
        <v>7.2293640000000003</v>
      </c>
      <c r="F35" s="2">
        <f>'Input data'!F37</f>
        <v>7.2143069999999998</v>
      </c>
      <c r="G35" s="2">
        <f>'Input data'!G37</f>
        <v>5.985741</v>
      </c>
      <c r="H35" s="1">
        <f>H96</f>
        <v>6.1266569950914258</v>
      </c>
      <c r="I35" s="1">
        <f t="shared" ref="I35:W35" si="9">I96</f>
        <v>6.2185541201633292</v>
      </c>
      <c r="J35" s="1">
        <f t="shared" si="9"/>
        <v>6.2915043465930225</v>
      </c>
      <c r="K35" s="1">
        <f t="shared" si="9"/>
        <v>6.3482790719815005</v>
      </c>
      <c r="L35" s="1">
        <f t="shared" si="9"/>
        <v>6.3907518299931834</v>
      </c>
      <c r="M35" s="1">
        <f t="shared" si="9"/>
        <v>6.4203822036899831</v>
      </c>
      <c r="N35" s="1">
        <f t="shared" si="9"/>
        <v>6.4384569759832049</v>
      </c>
      <c r="O35" s="1">
        <f t="shared" si="9"/>
        <v>6.4460823416539226</v>
      </c>
      <c r="P35" s="1">
        <f t="shared" si="9"/>
        <v>6.4330900290657365</v>
      </c>
      <c r="Q35" s="1">
        <f t="shared" si="9"/>
        <v>6.4104637781901852</v>
      </c>
      <c r="R35" s="1">
        <f t="shared" si="9"/>
        <v>6.3792758703650616</v>
      </c>
      <c r="S35" s="1">
        <f t="shared" si="9"/>
        <v>6.3404807613409879</v>
      </c>
      <c r="T35" s="1">
        <f>T96</f>
        <v>6.2949862415079352</v>
      </c>
      <c r="U35" s="1">
        <f t="shared" si="9"/>
        <v>6.2436291325501223</v>
      </c>
      <c r="V35" s="1">
        <f t="shared" si="9"/>
        <v>6.1871539811964347</v>
      </c>
      <c r="W35" s="1">
        <f t="shared" si="9"/>
        <v>6.1262309242227895</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7.51</v>
      </c>
      <c r="F36" s="166">
        <f>'Input data'!F39</f>
        <v>6.852957</v>
      </c>
      <c r="G36" s="166">
        <f>'Input data'!G39</f>
        <v>7.0544219999999997</v>
      </c>
      <c r="H36" s="1">
        <f>G36+($O$36-$G$36)/($O$10-$G$10)</f>
        <v>6.9882267499999999</v>
      </c>
      <c r="I36" s="1">
        <f t="shared" ref="I36:M36" si="10">H36+($O$36-$G$36)/($O$10-$G$10)</f>
        <v>6.9220315000000001</v>
      </c>
      <c r="J36" s="1">
        <f t="shared" si="10"/>
        <v>6.8558362500000003</v>
      </c>
      <c r="K36" s="1">
        <f t="shared" si="10"/>
        <v>6.7896410000000005</v>
      </c>
      <c r="L36" s="1">
        <f t="shared" si="10"/>
        <v>6.7234457500000007</v>
      </c>
      <c r="M36" s="1">
        <f t="shared" si="10"/>
        <v>6.6572505000000008</v>
      </c>
      <c r="N36" s="1">
        <f>M36+($O$36-$G$36)/($O$10-$G$10)</f>
        <v>6.591055250000001</v>
      </c>
      <c r="O36" s="252">
        <f>'Input data'!$C$52</f>
        <v>6.5248600000000003</v>
      </c>
      <c r="P36" s="1">
        <f>$O$36+('Input data'!$C$54-'Input data'!$C$52)/20*('Baseline NFPC'!P$10-2033)</f>
        <v>6.4486170000000005</v>
      </c>
      <c r="Q36" s="1">
        <f>$O$36+('Input data'!$C$54-'Input data'!$C$52)/20*('Baseline NFPC'!Q$10-2033)</f>
        <v>6.3723740000000006</v>
      </c>
      <c r="R36" s="1">
        <f>$O$36+('Input data'!$C$54-'Input data'!$C$52)/20*('Baseline NFPC'!R$10-2033)</f>
        <v>6.2961309999999999</v>
      </c>
      <c r="S36" s="1">
        <f>$O$36+('Input data'!$C$54-'Input data'!$C$52)/20*('Baseline NFPC'!S$10-2033)</f>
        <v>6.2198880000000001</v>
      </c>
      <c r="T36" s="1">
        <f>$O$36+('Input data'!$C$54-'Input data'!$C$52)/20*('Baseline NFPC'!T$10-2033)</f>
        <v>6.1436450000000002</v>
      </c>
      <c r="U36" s="1">
        <f>$O$36+('Input data'!$C$54-'Input data'!$C$52)/20*('Baseline NFPC'!U$10-2033)</f>
        <v>6.0674020000000004</v>
      </c>
      <c r="V36" s="1">
        <f>$O$36+('Input data'!$C$54-'Input data'!$C$52)/20*('Baseline NFPC'!V$10-2033)</f>
        <v>5.9911590000000006</v>
      </c>
      <c r="W36" s="1">
        <f>$O$36+('Input data'!$C$54-'Input data'!$C$52)/20*('Baseline NFPC'!W$10-2033)</f>
        <v>5.9149159999999998</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15.97</v>
      </c>
      <c r="F37" s="166">
        <f>'Input data'!F$38</f>
        <v>7.4377000000000004</v>
      </c>
      <c r="G37" s="166">
        <f>'Input data'!G$38</f>
        <v>6.4500719999999996</v>
      </c>
      <c r="H37" s="1">
        <f>G37+($O$37-$G$37)/($O$10-$G$10)</f>
        <v>6.4235542499999996</v>
      </c>
      <c r="I37" s="1">
        <f t="shared" ref="I37:N37" si="11">H37+($O$37-$G$37)/($O$10-$G$10)</f>
        <v>6.3970364999999996</v>
      </c>
      <c r="J37" s="1">
        <f t="shared" si="11"/>
        <v>6.3705187499999996</v>
      </c>
      <c r="K37" s="1">
        <f t="shared" si="11"/>
        <v>6.3440009999999996</v>
      </c>
      <c r="L37" s="1">
        <f t="shared" si="11"/>
        <v>6.3174832499999996</v>
      </c>
      <c r="M37" s="1">
        <f t="shared" si="11"/>
        <v>6.2909654999999995</v>
      </c>
      <c r="N37" s="1">
        <f t="shared" si="11"/>
        <v>6.2644477499999995</v>
      </c>
      <c r="O37" s="252">
        <f>'Input data'!$C$53</f>
        <v>6.2379300000000004</v>
      </c>
      <c r="P37" s="1">
        <f>$O$37+('Input data'!$C$55-'Input data'!$C$53)/20*('Baseline NFPC'!P$10-2033)</f>
        <v>6.0510335000000008</v>
      </c>
      <c r="Q37" s="1">
        <f>$O$37+('Input data'!$C$55-'Input data'!$C$53)/20*('Baseline NFPC'!Q$10-2033)</f>
        <v>5.8641370000000004</v>
      </c>
      <c r="R37" s="1">
        <f>$O$37+('Input data'!$C$55-'Input data'!$C$53)/20*('Baseline NFPC'!R$10-2033)</f>
        <v>5.6772404999999999</v>
      </c>
      <c r="S37" s="1">
        <f>$O$37+('Input data'!$C$55-'Input data'!$C$53)/20*('Baseline NFPC'!S$10-2033)</f>
        <v>5.4903440000000003</v>
      </c>
      <c r="T37" s="1">
        <f>$O$37+('Input data'!$C$55-'Input data'!$C$53)/20*('Baseline NFPC'!T$10-2033)</f>
        <v>5.3034475000000008</v>
      </c>
      <c r="U37" s="1">
        <f>$O$37+('Input data'!$C$55-'Input data'!$C$53)/20*('Baseline NFPC'!U$10-2033)</f>
        <v>5.1165510000000003</v>
      </c>
      <c r="V37" s="1">
        <f>$O$37+('Input data'!$C$55-'Input data'!$C$53)/20*('Baseline NFPC'!V$10-2033)</f>
        <v>4.9296544999999998</v>
      </c>
      <c r="W37" s="1">
        <f>$O$37+('Input data'!$C$55-'Input data'!$C$53)/20*('Baseline NFPC'!W$10-2033)</f>
        <v>4.7427580000000003</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7.9358789999999998E-2</v>
      </c>
      <c r="D38" s="1">
        <v>6.020197E-2</v>
      </c>
      <c r="E38" s="1">
        <v>5.0460409999999997E-2</v>
      </c>
      <c r="F38" s="1">
        <v>6.7433850000000004E-2</v>
      </c>
      <c r="G38" s="1">
        <f>IF(OR($C$3="EL",$C$3="CY",$C$3="IE",$C$3="PT"),VLOOKUP($C$3,$B$110:$T$114,MATCH(G$10,$B$110:$T$110,0),0),$F$38+('Input data'!$C$59-$F$38)/($O$10-$F$10)*(G10-$F$10))</f>
        <v>6.8616281111111108E-2</v>
      </c>
      <c r="H38" s="1">
        <f>IF(OR($C$3="EL",$C$3="CY",$C$3="IE",$C$3="PT"),VLOOKUP($C$3,$B$110:$T$114,MATCH(H$10,$B$110:$T$110,0),0),$F$38+('Input data'!$C$59-$F$38)/($O$10-$F$10)*(H10-$F$10))</f>
        <v>6.9798712222222226E-2</v>
      </c>
      <c r="I38" s="1">
        <f>IF(OR($C$3="EL",$C$3="CY",$C$3="IE",$C$3="PT"),VLOOKUP($C$3,$B$110:$T$114,MATCH(I$10,$B$110:$T$110,0),0),$F$38+('Input data'!$C$59-$F$38)/($O$10-$F$10)*(I10-$F$10))</f>
        <v>7.098114333333333E-2</v>
      </c>
      <c r="J38" s="1">
        <f>IF(OR($C$3="EL",$C$3="CY",$C$3="IE",$C$3="PT"),VLOOKUP($C$3,$B$110:$T$114,MATCH(J$10,$B$110:$T$110,0),0),$F$38+('Input data'!$C$59-$F$38)/($O$10-$F$10)*(J10-$F$10))</f>
        <v>7.2163574444444448E-2</v>
      </c>
      <c r="K38" s="1">
        <f>IF(OR($C$3="EL",$C$3="CY",$C$3="IE",$C$3="PT"),VLOOKUP($C$3,$B$110:$T$114,MATCH(K$10,$B$110:$T$110,0),0),$F$38+('Input data'!$C$59-$F$38)/($O$10-$F$10)*(K10-$F$10))</f>
        <v>7.3346005555555552E-2</v>
      </c>
      <c r="L38" s="1">
        <f>IF(OR($C$3="EL",$C$3="CY",$C$3="IE",$C$3="PT"),VLOOKUP($C$3,$B$110:$T$114,MATCH(L$10,$B$110:$T$110,0),0),$F$38+('Input data'!$C$59-$F$38)/($O$10-$F$10)*(L10-$F$10))</f>
        <v>7.452843666666667E-2</v>
      </c>
      <c r="M38" s="1">
        <f>IF(OR($C$3="EL",$C$3="CY",$C$3="IE",$C$3="PT"),VLOOKUP($C$3,$B$110:$T$114,MATCH(M$10,$B$110:$T$110,0),0),$F$38+('Input data'!$C$59-$F$38)/($O$10-$F$10)*(M10-$F$10))</f>
        <v>7.5710867777777774E-2</v>
      </c>
      <c r="N38" s="1">
        <f>IF(OR($C$3="EL",$C$3="CY",$C$3="IE",$C$3="PT"),VLOOKUP($C$3,$B$110:$T$114,MATCH(N$10,$B$110:$T$110,0),0),$F$38+('Input data'!$C$59-$F$38)/($O$10-$F$10)*(N10-$F$10))</f>
        <v>7.6893298888888878E-2</v>
      </c>
      <c r="O38" s="252">
        <f>IF(OR($C$3="EL",$C$3="CY",$C$3="IE",$C$3="PT"),VLOOKUP($C$3,$B$110:$T$114,MATCH(O$10,$B$110:$T$110,0),0),'Input data'!$C$59)</f>
        <v>7.8075729999999996E-2</v>
      </c>
      <c r="P38" s="1">
        <f>IF(OR($C$3="EL",$C$3="CY",$C$3="IE",$C$3="PT"),VLOOKUP($C$3,$B$110:$T$114,MATCH(P$10,$B$110:$T$110,0),0),'Input data'!$C$59)</f>
        <v>7.8075729999999996E-2</v>
      </c>
      <c r="Q38" s="1">
        <f>IF(OR($C$3="EL",$C$3="CY",$C$3="IE",$C$3="PT"),VLOOKUP($C$3,$B$110:$T$114,MATCH(Q$10,$B$110:$T$110,0),0),'Input data'!$C$59)</f>
        <v>7.8075729999999996E-2</v>
      </c>
      <c r="R38" s="1">
        <f>IF(OR($C$3="EL",$C$3="CY",$C$3="IE",$C$3="PT"),VLOOKUP($C$3,$B$110:$T$114,MATCH(R$10,$B$110:$T$110,0),0),'Input data'!$C$59)</f>
        <v>7.8075729999999996E-2</v>
      </c>
      <c r="S38" s="1">
        <f>IF(OR($C$3="EL",$C$3="CY",$C$3="IE",$C$3="PT"),VLOOKUP($C$3,$B$110:$T$114,MATCH(S$10,$B$110:$T$110,0),0),'Input data'!$C$59)</f>
        <v>7.8075729999999996E-2</v>
      </c>
      <c r="T38" s="1">
        <f>IF(OR($C$3="EL",$C$3="CY",$C$3="IE",$C$3="PT"),VLOOKUP($C$3,$B$110:$T$114,MATCH(T$10,$B$110:$T$110,0),0),'Input data'!$C$59)</f>
        <v>7.8075729999999996E-2</v>
      </c>
      <c r="U38" s="1">
        <f>IF(OR($C$3="EL",$C$3="CY",$C$3="IE",$C$3="PT"),VLOOKUP($C$3,$B$110:$W$114,MATCH(U$10,$B$110:$W$110,0),0),'Input data'!$C$59)</f>
        <v>7.8075729999999996E-2</v>
      </c>
      <c r="V38" s="1">
        <f>IF(OR($C$3="EL",$C$3="CY",$C$3="IE",$C$3="PT"),VLOOKUP($C$3,$B$110:$W$114,MATCH(V$10,$B$110:$W$110,0),0),'Input data'!$C$59)</f>
        <v>7.8075729999999996E-2</v>
      </c>
      <c r="W38" s="1">
        <f>IF(OR($C$3="EL",$C$3="CY",$C$3="IE",$C$3="PT"),VLOOKUP($C$3,$B$110:$W$114,MATCH(W$10,$B$110:$W$110,0),0),'Input data'!$C$59)</f>
        <v>7.8075729999999996E-2</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6.4392469999999999</v>
      </c>
      <c r="D41" s="1">
        <f>'Input data'!D42</f>
        <v>14.231339999999999</v>
      </c>
      <c r="E41" s="2">
        <f>'Input data'!E42</f>
        <v>14.74901</v>
      </c>
      <c r="F41" s="2">
        <f>'Input data'!F42</f>
        <v>5.300141</v>
      </c>
      <c r="G41" s="2">
        <f>'Input data'!G42</f>
        <v>3.7999740000000002</v>
      </c>
      <c r="H41" s="1">
        <f>$G$41+($O$41-$G$41)/($O$10-$G$10)*(H10-$G$10)</f>
        <v>3.72622725</v>
      </c>
      <c r="I41" s="1">
        <f>$G$41+($O$41-$G$41)/($O$10-$G$10)*(I10-$G$10)</f>
        <v>3.6524805000000002</v>
      </c>
      <c r="J41" s="1">
        <f t="shared" ref="J41:M41" si="12">$G$41+($O$41-$G$41)/($O$10-$G$10)*(J10-$G$10)</f>
        <v>3.57873375</v>
      </c>
      <c r="K41" s="1">
        <f t="shared" si="12"/>
        <v>3.5049869999999999</v>
      </c>
      <c r="L41" s="1">
        <f t="shared" si="12"/>
        <v>3.4312402500000001</v>
      </c>
      <c r="M41" s="1">
        <f t="shared" si="12"/>
        <v>3.3574934999999999</v>
      </c>
      <c r="N41" s="1">
        <f>$G$41+($O$41-$G$41)/($O$10-$G$10)*(N10-$G$10)</f>
        <v>3.2837467499999997</v>
      </c>
      <c r="O41" s="252">
        <f>'Input data'!$C$61</f>
        <v>3.21</v>
      </c>
      <c r="P41" s="1">
        <f>$O$41+('Input data'!$C$62-'Input data'!$C$61)/20*(P$10-2033)</f>
        <v>3.1995</v>
      </c>
      <c r="Q41" s="1">
        <f>$O$41+('Input data'!$C$62-'Input data'!$C$61)/20*(Q$10-2033)</f>
        <v>3.1890000000000001</v>
      </c>
      <c r="R41" s="1">
        <f>$O$41+('Input data'!$C$62-'Input data'!$C$61)/20*(R$10-2033)</f>
        <v>3.1785000000000001</v>
      </c>
      <c r="S41" s="1">
        <f>$O$41+('Input data'!$C$62-'Input data'!$C$61)/20*(S$10-2033)</f>
        <v>3.1680000000000001</v>
      </c>
      <c r="T41" s="1">
        <f>$O$41+('Input data'!$C$62-'Input data'!$C$61)/20*(T$10-2033)</f>
        <v>3.1574999999999998</v>
      </c>
      <c r="U41" s="1">
        <f>$O$41+('Input data'!$C$62-'Input data'!$C$61)/20*(U$10-2033)</f>
        <v>3.1469999999999998</v>
      </c>
      <c r="V41" s="1">
        <f>$O$41+('Input data'!$C$62-'Input data'!$C$61)/20*(V$10-2033)</f>
        <v>3.1364999999999998</v>
      </c>
      <c r="W41" s="1">
        <f>$O$41+('Input data'!$C$62-'Input data'!$C$61)/20*(W$10-2033)</f>
        <v>3.1259999999999999</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1.002497</v>
      </c>
      <c r="D42" s="1">
        <v>1.052827</v>
      </c>
      <c r="E42" s="1">
        <v>0.98856089999999996</v>
      </c>
      <c r="F42" s="1">
        <v>1.0111460000000001</v>
      </c>
      <c r="G42" s="1">
        <v>1.001916</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258</v>
      </c>
      <c r="C47" s="57">
        <f>'Input data'!C50</f>
        <v>0.45300000000000001</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4.5834080000000004</v>
      </c>
      <c r="E51" s="34">
        <f>'Input data'!E30-$C$46*((E12-D12)-('Input data'!E13-'Input data'!D13))</f>
        <v>-0.90768590000000005</v>
      </c>
      <c r="F51" s="34">
        <f>'Input data'!F30-$C$46*((F12-E12)-('Input data'!F13-'Input data'!E13))</f>
        <v>2.4166650000000001</v>
      </c>
      <c r="G51" s="34">
        <f>'Input data'!G30-$C$46*((G12-F12)-('Input data'!G13-'Input data'!F13))</f>
        <v>3.2529537249999998</v>
      </c>
      <c r="H51" s="34">
        <f>'Input data'!H30-$C$46*((H12-G12))</f>
        <v>2.4094060000000002</v>
      </c>
      <c r="I51" s="34">
        <f>'Input data'!I30-$C$46*((I12-H12))</f>
        <v>2.321186</v>
      </c>
      <c r="J51" s="34">
        <f>'Input data'!J30-$C$46*((J12-I12))</f>
        <v>2.127246</v>
      </c>
      <c r="K51" s="34">
        <f>'Input data'!K30-$C$46*((K12-J12))</f>
        <v>2.0546989999999998</v>
      </c>
      <c r="L51" s="34">
        <f>'Input data'!L30-$C$46*((L12-K12))</f>
        <v>2.059733</v>
      </c>
      <c r="M51" s="34">
        <f>'Input data'!M30-$C$46*((M12-L12))</f>
        <v>2.023784</v>
      </c>
      <c r="N51" s="34">
        <f>'Input data'!N30-$C$46*((N12-M12))</f>
        <v>1.897527</v>
      </c>
      <c r="O51" s="34">
        <f>'Input data'!O30-$C$46*((O12-N12))</f>
        <v>1.8826879999999999</v>
      </c>
      <c r="P51" s="34">
        <f>'Input data'!P30-$C$46*((P12-O12))</f>
        <v>1.8447150000000001</v>
      </c>
      <c r="Q51" s="34">
        <f>'Input data'!Q30-$C$46*((Q12-P12))</f>
        <v>1.8067390000000001</v>
      </c>
      <c r="R51" s="34">
        <f>'Input data'!R30-$C$46*((R12-Q12))</f>
        <v>1.76877</v>
      </c>
      <c r="S51" s="34">
        <f>'Input data'!S30-$C$46*((S12-R12))</f>
        <v>1.761083</v>
      </c>
      <c r="T51" s="34">
        <f>'Input data'!T30-$C$46*((T12-S12))</f>
        <v>1.7076499999999999</v>
      </c>
      <c r="U51" s="34">
        <f>'Input data'!U30-$C$46*((U12-T12))</f>
        <v>1.652968</v>
      </c>
      <c r="V51" s="34">
        <f>'Input data'!V30-$C$46*((V12-U12))</f>
        <v>1.6187590000000001</v>
      </c>
      <c r="W51" s="34">
        <f>'Input data'!W30-$C$46*((W12-V12))</f>
        <v>1.6011329999999999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76.688640000000007</v>
      </c>
      <c r="D56" s="45">
        <f>+C56+D57</f>
        <v>74.056958506530165</v>
      </c>
      <c r="E56" s="45">
        <f t="shared" ref="E56:T56" si="14">+D56+E57</f>
        <v>73.520357526734585</v>
      </c>
      <c r="F56" s="45">
        <f>+E56+F57</f>
        <v>74.287964673525892</v>
      </c>
      <c r="G56" s="45">
        <f>+F56+G57</f>
        <v>73.830404245193094</v>
      </c>
      <c r="H56" s="45">
        <f t="shared" si="14"/>
        <v>73.662350946452165</v>
      </c>
      <c r="I56" s="45">
        <f t="shared" si="14"/>
        <v>73.530611343219988</v>
      </c>
      <c r="J56" s="45">
        <f t="shared" si="14"/>
        <v>73.599576624501026</v>
      </c>
      <c r="K56" s="45">
        <f t="shared" si="14"/>
        <v>73.826808567005486</v>
      </c>
      <c r="L56" s="45">
        <f t="shared" si="14"/>
        <v>74.178589043683061</v>
      </c>
      <c r="M56" s="45">
        <f t="shared" si="14"/>
        <v>74.713566943665526</v>
      </c>
      <c r="N56" s="45">
        <f t="shared" si="14"/>
        <v>75.514428996767464</v>
      </c>
      <c r="O56" s="45">
        <f t="shared" si="14"/>
        <v>76.524583633827703</v>
      </c>
      <c r="P56" s="45">
        <f t="shared" si="14"/>
        <v>77.728561464200666</v>
      </c>
      <c r="Q56" s="45">
        <f t="shared" si="14"/>
        <v>79.15527037931119</v>
      </c>
      <c r="R56" s="45">
        <f>+Q56+R57</f>
        <v>80.827539922261138</v>
      </c>
      <c r="S56" s="45">
        <f t="shared" si="14"/>
        <v>82.723617493350417</v>
      </c>
      <c r="T56" s="45">
        <f t="shared" si="14"/>
        <v>84.883295804490885</v>
      </c>
      <c r="U56" s="45">
        <f t="shared" ref="U56" si="15">+T56+U57</f>
        <v>87.319463306804025</v>
      </c>
      <c r="V56" s="45">
        <f t="shared" ref="V56" si="16">+U56+V57</f>
        <v>90.02778108911869</v>
      </c>
      <c r="W56" s="45">
        <f t="shared" ref="W56" si="17">+V56+W57</f>
        <v>93.015979204813164</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-2.631681493469844</v>
      </c>
      <c r="E57" s="47">
        <f t="shared" ref="E57:T57" si="18">-E58+E66+E71</f>
        <v>-0.53660097979557353</v>
      </c>
      <c r="F57" s="47">
        <f>-F58+F66+F71</f>
        <v>0.76760714679130904</v>
      </c>
      <c r="G57" s="47">
        <f>-G58+G66+G71</f>
        <v>-0.45756042833279365</v>
      </c>
      <c r="H57" s="47">
        <f t="shared" si="18"/>
        <v>-0.16805329874092959</v>
      </c>
      <c r="I57" s="47">
        <f t="shared" si="18"/>
        <v>-0.13173960323217901</v>
      </c>
      <c r="J57" s="47">
        <f t="shared" si="18"/>
        <v>6.8965281281044344E-2</v>
      </c>
      <c r="K57" s="47">
        <f t="shared" si="18"/>
        <v>0.22723194250445955</v>
      </c>
      <c r="L57" s="47">
        <f t="shared" si="18"/>
        <v>0.35178047667756901</v>
      </c>
      <c r="M57" s="47">
        <f t="shared" si="18"/>
        <v>0.53497789998246981</v>
      </c>
      <c r="N57" s="47">
        <f t="shared" si="18"/>
        <v>0.80086205310193803</v>
      </c>
      <c r="O57" s="47">
        <f t="shared" si="18"/>
        <v>1.010154637060239</v>
      </c>
      <c r="P57" s="47">
        <f t="shared" si="18"/>
        <v>1.2039778303729667</v>
      </c>
      <c r="Q57" s="47">
        <f t="shared" si="18"/>
        <v>1.4267089151105194</v>
      </c>
      <c r="R57" s="47">
        <f>-R58+R66+R71</f>
        <v>1.6722695429499481</v>
      </c>
      <c r="S57" s="47">
        <f t="shared" si="18"/>
        <v>1.8960775710892799</v>
      </c>
      <c r="T57" s="47">
        <f t="shared" si="18"/>
        <v>2.1596783111404632</v>
      </c>
      <c r="U57" s="47">
        <f t="shared" ref="U57:W57" si="19">-U58+U66+U71</f>
        <v>2.4361675023131442</v>
      </c>
      <c r="V57" s="47">
        <f t="shared" si="19"/>
        <v>2.7083177823146594</v>
      </c>
      <c r="W57" s="47">
        <f t="shared" si="19"/>
        <v>2.9881981156944759</v>
      </c>
    </row>
    <row r="58" spans="2:48" outlineLevel="1" x14ac:dyDescent="0.2">
      <c r="B58" s="84" t="s">
        <v>106</v>
      </c>
      <c r="C58" s="48"/>
      <c r="D58" s="48">
        <f>D59+D60-D61-D62-D63-D64-D65</f>
        <v>-3.3918265065301565</v>
      </c>
      <c r="E58" s="48">
        <f>E59+E60-E61-E62-E63-E64-E65</f>
        <v>-1.9835450202044265</v>
      </c>
      <c r="F58" s="48">
        <f>F59+F60-F61-F62-F63-F64-F65</f>
        <v>-0.51716924679130893</v>
      </c>
      <c r="G58" s="48">
        <f t="shared" ref="G58:T58" si="20">G59+G60-G61-G62-G63-G64-G65</f>
        <v>-4.9994171667206294E-2</v>
      </c>
      <c r="H58" s="48">
        <f t="shared" si="20"/>
        <v>9.9414262286670302E-2</v>
      </c>
      <c r="I58" s="48">
        <f t="shared" si="20"/>
        <v>0.2429409285919136</v>
      </c>
      <c r="J58" s="48">
        <f t="shared" si="20"/>
        <v>0.28512303473076833</v>
      </c>
      <c r="K58" s="48">
        <f t="shared" si="20"/>
        <v>0.27204714697145782</v>
      </c>
      <c r="L58" s="48">
        <f t="shared" si="20"/>
        <v>0.22807137154048956</v>
      </c>
      <c r="M58" s="48">
        <f t="shared" si="20"/>
        <v>0.14818503949810466</v>
      </c>
      <c r="N58" s="48">
        <f t="shared" si="20"/>
        <v>4.7391484062409742E-2</v>
      </c>
      <c r="O58" s="48">
        <f t="shared" si="20"/>
        <v>-8.1631182050424161E-2</v>
      </c>
      <c r="P58" s="48">
        <f t="shared" si="20"/>
        <v>-0.23572529246073712</v>
      </c>
      <c r="Q58" s="48">
        <f t="shared" si="20"/>
        <v>-0.42259018238223728</v>
      </c>
      <c r="R58" s="48">
        <f t="shared" si="20"/>
        <v>-0.63515473725547411</v>
      </c>
      <c r="S58" s="48">
        <f t="shared" si="20"/>
        <v>-0.85240007273661078</v>
      </c>
      <c r="T58" s="48">
        <f t="shared" si="20"/>
        <v>-1.0748340727366099</v>
      </c>
      <c r="U58" s="48">
        <f t="shared" ref="U58:W58" si="21">U59+U60-U61-U62-U63-U64-U65</f>
        <v>-1.3095586271027513</v>
      </c>
      <c r="V58" s="48">
        <f t="shared" si="21"/>
        <v>-1.557631289751136</v>
      </c>
      <c r="W58" s="48">
        <f t="shared" si="21"/>
        <v>-1.829055843889932</v>
      </c>
    </row>
    <row r="59" spans="2:48" outlineLevel="1" x14ac:dyDescent="0.2">
      <c r="B59" s="79" t="s">
        <v>107</v>
      </c>
      <c r="C59" s="1"/>
      <c r="D59" s="1">
        <f>D12</f>
        <v>-4.121645</v>
      </c>
      <c r="E59" s="1">
        <f>E12</f>
        <v>-1.336916</v>
      </c>
      <c r="F59" s="1">
        <f>F12</f>
        <v>3.4885699999999999E-2</v>
      </c>
      <c r="G59" s="1">
        <f t="shared" ref="G59:W59" si="22">IF(G12="",F59,G12)</f>
        <v>3.4885699999999999E-2</v>
      </c>
      <c r="H59" s="1">
        <f>IF(H12="",G59,H12)</f>
        <v>3.4885699999999999E-2</v>
      </c>
      <c r="I59" s="1">
        <f t="shared" si="22"/>
        <v>3.4885699999999999E-2</v>
      </c>
      <c r="J59" s="1">
        <f t="shared" si="22"/>
        <v>3.4885699999999999E-2</v>
      </c>
      <c r="K59" s="1">
        <f t="shared" si="22"/>
        <v>3.4885699999999999E-2</v>
      </c>
      <c r="L59" s="1">
        <f t="shared" si="22"/>
        <v>3.4885699999999999E-2</v>
      </c>
      <c r="M59" s="1">
        <f t="shared" si="22"/>
        <v>3.4885699999999999E-2</v>
      </c>
      <c r="N59" s="1">
        <f t="shared" si="22"/>
        <v>3.4885699999999999E-2</v>
      </c>
      <c r="O59" s="1">
        <f t="shared" si="22"/>
        <v>3.4885699999999999E-2</v>
      </c>
      <c r="P59" s="1">
        <f t="shared" si="22"/>
        <v>3.4885699999999999E-2</v>
      </c>
      <c r="Q59" s="1">
        <f t="shared" si="22"/>
        <v>3.4885699999999999E-2</v>
      </c>
      <c r="R59" s="1">
        <f t="shared" si="22"/>
        <v>3.4885699999999999E-2</v>
      </c>
      <c r="S59" s="1">
        <f t="shared" si="22"/>
        <v>3.4885699999999999E-2</v>
      </c>
      <c r="T59" s="1">
        <f t="shared" si="22"/>
        <v>3.4885699999999999E-2</v>
      </c>
      <c r="U59" s="1">
        <f t="shared" si="22"/>
        <v>3.4885699999999999E-2</v>
      </c>
      <c r="V59" s="1">
        <f t="shared" si="22"/>
        <v>3.4885699999999999E-2</v>
      </c>
      <c r="W59" s="1">
        <f t="shared" si="22"/>
        <v>3.4885699999999999E-2</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-0.7298184934698434</v>
      </c>
      <c r="E61" s="1">
        <f t="shared" si="23"/>
        <v>0.64662902020442647</v>
      </c>
      <c r="F61" s="1">
        <f t="shared" si="23"/>
        <v>0.55205494679130895</v>
      </c>
      <c r="G61" s="1">
        <f t="shared" si="23"/>
        <v>0.19883487166720143</v>
      </c>
      <c r="H61" s="1">
        <f>-$C$47*H29</f>
        <v>0.13255243771332909</v>
      </c>
      <c r="I61" s="1">
        <f t="shared" si="23"/>
        <v>4.418077140808474E-2</v>
      </c>
      <c r="J61" s="1">
        <f>-$C$47*J29</f>
        <v>-5.3347307705342571E-6</v>
      </c>
      <c r="K61" s="1">
        <f t="shared" si="23"/>
        <v>-4.446971460869698E-6</v>
      </c>
      <c r="L61" s="1">
        <f t="shared" si="23"/>
        <v>-2.6715404923605134E-6</v>
      </c>
      <c r="M61" s="1">
        <f t="shared" si="23"/>
        <v>-1.3394981067671452E-6</v>
      </c>
      <c r="N61" s="1">
        <f t="shared" si="23"/>
        <v>-1.7840624116693961E-6</v>
      </c>
      <c r="O61" s="1">
        <f t="shared" si="23"/>
        <v>-3.1179495784572355E-6</v>
      </c>
      <c r="P61" s="1">
        <f t="shared" si="23"/>
        <v>-4.0075392653715626E-6</v>
      </c>
      <c r="Q61" s="1">
        <f t="shared" si="23"/>
        <v>-3.1176177646807804E-6</v>
      </c>
      <c r="R61" s="1">
        <f t="shared" si="23"/>
        <v>-3.5627445275299153E-6</v>
      </c>
      <c r="S61" s="1">
        <f t="shared" si="23"/>
        <v>-2.2272633912523431E-6</v>
      </c>
      <c r="T61" s="1">
        <f t="shared" si="23"/>
        <v>-2.2272633912523431E-6</v>
      </c>
      <c r="U61" s="1">
        <f t="shared" si="23"/>
        <v>-2.6728972494005631E-6</v>
      </c>
      <c r="V61" s="1">
        <f t="shared" si="23"/>
        <v>-4.0102488666482472E-6</v>
      </c>
      <c r="W61" s="1">
        <f t="shared" si="23"/>
        <v>-4.456110069739339E-6</v>
      </c>
    </row>
    <row r="62" spans="2:48" outlineLevel="1" x14ac:dyDescent="0.2">
      <c r="B62" s="79" t="s">
        <v>110</v>
      </c>
      <c r="C62" s="1"/>
      <c r="D62" s="1">
        <f t="shared" ref="D62:W62" si="24">-D13</f>
        <v>0</v>
      </c>
      <c r="E62" s="1">
        <f t="shared" si="24"/>
        <v>0</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-0.1147099999999952</v>
      </c>
      <c r="H63" s="1">
        <f>IF(H$55&lt;=$C$5,0,HLOOKUP(H$55,'Input data'!$C$9:$BB$26,12,FALSE)-HLOOKUP($C$5,'Input data'!$C$9:$BB$26,12,FALSE))</f>
        <v>-0.19858999999999938</v>
      </c>
      <c r="I63" s="1">
        <f>IF(I$55&lt;=$C$5,0,HLOOKUP(I$55,'Input data'!$C$9:$BB$26,12,FALSE)-HLOOKUP($C$5,'Input data'!$C$9:$BB$26,12,FALSE))</f>
        <v>-0.25449999999999839</v>
      </c>
      <c r="J63" s="1">
        <f>IF(J$55&lt;=$C$5,0,HLOOKUP(J$55,'Input data'!$C$9:$BB$26,12,FALSE)-HLOOKUP($C$5,'Input data'!$C$9:$BB$26,12,FALSE))</f>
        <v>-0.25324999999999775</v>
      </c>
      <c r="K63" s="1">
        <f>IF(K$55&lt;=$C$5,0,HLOOKUP(K$55,'Input data'!$C$9:$BB$26,12,FALSE)-HLOOKUP($C$5,'Input data'!$C$9:$BB$26,12,FALSE))</f>
        <v>-0.24092999999999698</v>
      </c>
      <c r="L63" s="1">
        <f>IF(L$55&lt;=$C$5,0,HLOOKUP(L$55,'Input data'!$C$9:$BB$26,12,FALSE)-HLOOKUP($C$5,'Input data'!$C$9:$BB$26,12,FALSE))</f>
        <v>-0.19770999999999717</v>
      </c>
      <c r="M63" s="1">
        <f>IF(M$55&lt;=$C$5,0,HLOOKUP(M$55,'Input data'!$C$9:$BB$26,12,FALSE)-HLOOKUP($C$5,'Input data'!$C$9:$BB$26,12,FALSE))</f>
        <v>-0.11857999999999791</v>
      </c>
      <c r="N63" s="1">
        <f>IF(N$55&lt;=$C$5,0,HLOOKUP(N$55,'Input data'!$C$9:$BB$26,12,FALSE)-HLOOKUP($C$5,'Input data'!$C$9:$BB$26,12,FALSE))</f>
        <v>-1.8539999999998003E-2</v>
      </c>
      <c r="O63" s="1">
        <f>IF(O$55&lt;=$C$5,0,HLOOKUP(O$55,'Input data'!$C$9:$BB$26,12,FALSE)-HLOOKUP($C$5,'Input data'!$C$9:$BB$26,12,FALSE))</f>
        <v>0.10973000000000255</v>
      </c>
      <c r="P63" s="1">
        <f>IF(P$55&lt;=$C$5,0,HLOOKUP(P$55,'Input data'!$C$9:$BB$26,12,FALSE)-HLOOKUP($C$5,'Input data'!$C$9:$BB$26,12,FALSE))</f>
        <v>0.26307000000000258</v>
      </c>
      <c r="Q63" s="1">
        <f>IF(Q$55&lt;=$C$5,0,HLOOKUP(Q$55,'Input data'!$C$9:$BB$26,12,FALSE)-HLOOKUP($C$5,'Input data'!$C$9:$BB$26,12,FALSE))</f>
        <v>0.44918000000000191</v>
      </c>
      <c r="R63" s="1">
        <f>IF(R$55&lt;=$C$5,0,HLOOKUP(R$55,'Input data'!$C$9:$BB$26,12,FALSE)-HLOOKUP($C$5,'Input data'!$C$9:$BB$26,12,FALSE))</f>
        <v>0.66099000000000174</v>
      </c>
      <c r="S63" s="1">
        <f>IF(S$55&lt;=$C$5,0,HLOOKUP(S$55,'Input data'!$C$9:$BB$26,12,FALSE)-HLOOKUP($C$5,'Input data'!$C$9:$BB$26,12,FALSE))</f>
        <v>0.87748000000000204</v>
      </c>
      <c r="T63" s="1">
        <f>IF(T$55&lt;=$C$5,0,HLOOKUP(T$55,'Input data'!$C$9:$BB$26,12,FALSE)-HLOOKUP($C$5,'Input data'!$C$9:$BB$26,12,FALSE))</f>
        <v>1.0991600000000012</v>
      </c>
      <c r="U63" s="1">
        <f>IF(U$55&lt;=$C$5,0,HLOOKUP(U$55,'Input data'!$C$9:$BB$26,12,FALSE)-HLOOKUP($C$5,'Input data'!$C$9:$BB$26,12,FALSE))</f>
        <v>1.3331300000000006</v>
      </c>
      <c r="V63" s="1">
        <f>IF(V$55&lt;=$C$5,0,HLOOKUP(V$55,'Input data'!$C$9:$BB$26,12,FALSE)-HLOOKUP($C$5,'Input data'!$C$9:$BB$26,12,FALSE))</f>
        <v>1.5804500000000026</v>
      </c>
      <c r="W63" s="1">
        <f>IF(W$55&lt;=$C$5,0,HLOOKUP(W$55,'Input data'!$C$9:$BB$26,12,FALSE)-HLOOKUP($C$5,'Input data'!$C$9:$BB$26,12,FALSE))</f>
        <v>1.8511200000000017</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7.5500000000006118E-4</v>
      </c>
      <c r="H64" s="1">
        <f>IF(H$55&lt;=$C$5,0,-HLOOKUP(H$55,'Input data'!$C$9:$BB$26,18,FALSE)+HLOOKUP($C$5,'Input data'!$C$9:$BB$26,18,FALSE))</f>
        <v>1.5089999999999826E-3</v>
      </c>
      <c r="I64" s="1">
        <f>IF(I$55&lt;=$C$5,0,-HLOOKUP(I$55,'Input data'!$C$9:$BB$26,18,FALSE)+HLOOKUP($C$5,'Input data'!$C$9:$BB$26,18,FALSE))</f>
        <v>2.2640000000000438E-3</v>
      </c>
      <c r="J64" s="1">
        <f>IF(J$55&lt;=$C$5,0,-HLOOKUP(J$55,'Input data'!$C$9:$BB$26,18,FALSE)+HLOOKUP($C$5,'Input data'!$C$9:$BB$26,18,FALSE))</f>
        <v>3.0179999999999652E-3</v>
      </c>
      <c r="K64" s="1">
        <f>IF(K$55&lt;=$C$5,0,-HLOOKUP(K$55,'Input data'!$C$9:$BB$26,18,FALSE)+HLOOKUP($C$5,'Input data'!$C$9:$BB$26,18,FALSE))</f>
        <v>3.7730000000000263E-3</v>
      </c>
      <c r="L64" s="1">
        <f>IF(L$55&lt;=$C$5,0,-HLOOKUP(L$55,'Input data'!$C$9:$BB$26,18,FALSE)+HLOOKUP($C$5,'Input data'!$C$9:$BB$26,18,FALSE))</f>
        <v>4.5269999999999477E-3</v>
      </c>
      <c r="M64" s="1">
        <f>IF(M$55&lt;=$C$5,0,-HLOOKUP(M$55,'Input data'!$C$9:$BB$26,18,FALSE)+HLOOKUP($C$5,'Input data'!$C$9:$BB$26,18,FALSE))</f>
        <v>5.2820000000000089E-3</v>
      </c>
      <c r="N64" s="1">
        <f>IF(N$55&lt;=$C$5,0,-HLOOKUP(N$55,'Input data'!$C$9:$BB$26,18,FALSE)+HLOOKUP($C$5,'Input data'!$C$9:$BB$26,18,FALSE))</f>
        <v>6.0359999999999303E-3</v>
      </c>
      <c r="O64" s="1">
        <f>IF(O$55&lt;=$C$5,0,-HLOOKUP(O$55,'Input data'!$C$9:$BB$26,18,FALSE)+HLOOKUP($C$5,'Input data'!$C$9:$BB$26,18,FALSE))</f>
        <v>6.7900000000000738E-3</v>
      </c>
      <c r="P64" s="1">
        <f>IF(P$55&lt;=$C$5,0,-HLOOKUP(P$55,'Input data'!$C$9:$BB$26,18,FALSE)+HLOOKUP($C$5,'Input data'!$C$9:$BB$26,18,FALSE))</f>
        <v>7.5449999999999129E-3</v>
      </c>
      <c r="Q64" s="1">
        <f>IF(Q$55&lt;=$C$5,0,-HLOOKUP(Q$55,'Input data'!$C$9:$BB$26,18,FALSE)+HLOOKUP($C$5,'Input data'!$C$9:$BB$26,18,FALSE))</f>
        <v>8.2990000000000563E-3</v>
      </c>
      <c r="R64" s="1">
        <f>IF(R$55&lt;=$C$5,0,-HLOOKUP(R$55,'Input data'!$C$9:$BB$26,18,FALSE)+HLOOKUP($C$5,'Input data'!$C$9:$BB$26,18,FALSE))</f>
        <v>9.0539999999998955E-3</v>
      </c>
      <c r="S64" s="1">
        <f>IF(S$55&lt;=$C$5,0,-HLOOKUP(S$55,'Input data'!$C$9:$BB$26,18,FALSE)+HLOOKUP($C$5,'Input data'!$C$9:$BB$26,18,FALSE))</f>
        <v>9.8080000000000389E-3</v>
      </c>
      <c r="T64" s="1">
        <f>IF(T$55&lt;=$C$5,0,-HLOOKUP(T$55,'Input data'!$C$9:$BB$26,18,FALSE)+HLOOKUP($C$5,'Input data'!$C$9:$BB$26,18,FALSE))</f>
        <v>1.056199999999996E-2</v>
      </c>
      <c r="U64" s="1">
        <f>IF(U$55&lt;=$C$5,0,-HLOOKUP(U$55,'Input data'!$C$9:$BB$26,18,FALSE)+HLOOKUP($C$5,'Input data'!$C$9:$BB$26,18,FALSE))</f>
        <v>1.1317000000000021E-2</v>
      </c>
      <c r="V64" s="1">
        <f>IF(V$55&lt;=$C$5,0,-HLOOKUP(V$55,'Input data'!$C$9:$BB$26,18,FALSE)+HLOOKUP($C$5,'Input data'!$C$9:$BB$26,18,FALSE))</f>
        <v>1.2070999999999943E-2</v>
      </c>
      <c r="W64" s="1">
        <f>IF(W$55&lt;=$C$5,0,-HLOOKUP(W$55,'Input data'!$C$9:$BB$26,18,FALSE)+HLOOKUP($C$5,'Input data'!$C$9:$BB$26,18,FALSE))</f>
        <v>1.2826000000000004E-2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-9.5102200000000003</v>
      </c>
      <c r="E66" s="48">
        <f t="shared" ref="E66:T66" si="25">SUM(E67:E70)</f>
        <v>-4.272996</v>
      </c>
      <c r="F66" s="48">
        <f t="shared" si="25"/>
        <v>-0.37506469999999997</v>
      </c>
      <c r="G66" s="48">
        <f>SUM(G67:G70)</f>
        <v>-0.83605019999999997</v>
      </c>
      <c r="H66" s="48">
        <f t="shared" si="25"/>
        <v>-6.8639036454259283E-2</v>
      </c>
      <c r="I66" s="48">
        <f t="shared" si="25"/>
        <v>0.11120132535973459</v>
      </c>
      <c r="J66" s="48">
        <f t="shared" si="25"/>
        <v>0.35408831601181268</v>
      </c>
      <c r="K66" s="48">
        <f t="shared" si="25"/>
        <v>0.49927908947591737</v>
      </c>
      <c r="L66" s="48">
        <f t="shared" si="25"/>
        <v>0.57985184821805857</v>
      </c>
      <c r="M66" s="48">
        <f t="shared" si="25"/>
        <v>0.68316293948057449</v>
      </c>
      <c r="N66" s="48">
        <f t="shared" si="25"/>
        <v>0.84825353716434782</v>
      </c>
      <c r="O66" s="48">
        <f t="shared" si="25"/>
        <v>0.92852345500981492</v>
      </c>
      <c r="P66" s="48">
        <f t="shared" si="25"/>
        <v>0.96825253791222954</v>
      </c>
      <c r="Q66" s="48">
        <f t="shared" si="25"/>
        <v>1.0041187327282821</v>
      </c>
      <c r="R66" s="48">
        <f t="shared" si="25"/>
        <v>1.0371148056944741</v>
      </c>
      <c r="S66" s="48">
        <f t="shared" si="25"/>
        <v>1.0436774983526691</v>
      </c>
      <c r="T66" s="48">
        <f t="shared" si="25"/>
        <v>1.084844238403853</v>
      </c>
      <c r="U66" s="48">
        <f t="shared" ref="U66:W66" si="26">SUM(U67:U70)</f>
        <v>1.1266088752103931</v>
      </c>
      <c r="V66" s="48">
        <f t="shared" si="26"/>
        <v>1.1506864925635232</v>
      </c>
      <c r="W66" s="48">
        <f t="shared" si="26"/>
        <v>1.1591422718045439</v>
      </c>
    </row>
    <row r="67" spans="2:23" outlineLevel="1" x14ac:dyDescent="0.2">
      <c r="B67" s="79" t="s">
        <v>115</v>
      </c>
      <c r="C67" s="34"/>
      <c r="D67" s="34">
        <f t="shared" ref="D67:W67" si="27">C56*D35/100*(1/(1+D32/100))</f>
        <v>2.836285671073747</v>
      </c>
      <c r="E67" s="34">
        <f t="shared" si="27"/>
        <v>4.7084400584753539</v>
      </c>
      <c r="F67" s="34">
        <f t="shared" si="27"/>
        <v>4.9181599323084875</v>
      </c>
      <c r="G67" s="34">
        <f>F56*G35/100*(1/(1+G32/100))</f>
        <v>4.1478841287887658</v>
      </c>
      <c r="H67" s="34">
        <f>G56*H35/100*(1/(1+H32/100))</f>
        <v>4.2582424395721148</v>
      </c>
      <c r="I67" s="34">
        <f t="shared" si="27"/>
        <v>4.3190648869120114</v>
      </c>
      <c r="J67" s="34">
        <f t="shared" si="27"/>
        <v>4.3733119773807836</v>
      </c>
      <c r="K67" s="34">
        <f t="shared" si="27"/>
        <v>4.4232047673138908</v>
      </c>
      <c r="L67" s="34">
        <f t="shared" si="27"/>
        <v>4.4695097368248549</v>
      </c>
      <c r="M67" s="34">
        <f t="shared" si="27"/>
        <v>4.516438018891944</v>
      </c>
      <c r="N67" s="34">
        <f t="shared" si="27"/>
        <v>4.5707307679456868</v>
      </c>
      <c r="O67" s="34">
        <f t="shared" si="27"/>
        <v>4.6291752134354374</v>
      </c>
      <c r="P67" s="34">
        <f t="shared" si="27"/>
        <v>4.683866564094914</v>
      </c>
      <c r="Q67" s="34">
        <f t="shared" si="27"/>
        <v>4.7430767298816185</v>
      </c>
      <c r="R67" s="34">
        <f t="shared" si="27"/>
        <v>4.8089192524785673</v>
      </c>
      <c r="S67" s="34">
        <f t="shared" si="27"/>
        <v>4.8815171348339597</v>
      </c>
      <c r="T67" s="34">
        <f t="shared" si="27"/>
        <v>4.9632925519616036</v>
      </c>
      <c r="U67" s="34">
        <f t="shared" si="27"/>
        <v>5.0545519851930178</v>
      </c>
      <c r="V67" s="34">
        <f t="shared" si="27"/>
        <v>5.1548461280460662</v>
      </c>
      <c r="W67" s="34">
        <f t="shared" si="27"/>
        <v>5.2638461284590505</v>
      </c>
    </row>
    <row r="68" spans="2:23" outlineLevel="1" x14ac:dyDescent="0.2">
      <c r="B68" s="79" t="s">
        <v>116</v>
      </c>
      <c r="C68" s="34"/>
      <c r="D68" s="34">
        <f t="shared" ref="D68:W68" si="28">-C56*(D23/100)*(1/(1+D32/100))</f>
        <v>-2.9421952723110931</v>
      </c>
      <c r="E68" s="34">
        <f t="shared" si="28"/>
        <v>0.5911702124935545</v>
      </c>
      <c r="F68" s="34">
        <f t="shared" si="28"/>
        <v>-1.6474964224300812</v>
      </c>
      <c r="G68" s="34">
        <f t="shared" si="28"/>
        <v>-2.2723003732746805</v>
      </c>
      <c r="H68" s="34">
        <f t="shared" si="28"/>
        <v>-1.6746220478116634</v>
      </c>
      <c r="I68" s="34">
        <f t="shared" si="28"/>
        <v>-1.6121678375500605</v>
      </c>
      <c r="J68" s="34">
        <f t="shared" si="28"/>
        <v>-1.4786782140066719</v>
      </c>
      <c r="K68" s="34">
        <f t="shared" si="28"/>
        <v>-1.4316249032445714</v>
      </c>
      <c r="L68" s="34">
        <f t="shared" si="28"/>
        <v>-1.4405185717826996</v>
      </c>
      <c r="M68" s="34">
        <f t="shared" si="28"/>
        <v>-1.4236372087587006</v>
      </c>
      <c r="N68" s="34">
        <f t="shared" si="28"/>
        <v>-1.3470750948962069</v>
      </c>
      <c r="O68" s="34">
        <f t="shared" si="28"/>
        <v>-1.3520293664129925</v>
      </c>
      <c r="P68" s="34">
        <f t="shared" si="28"/>
        <v>-1.3431179836976745</v>
      </c>
      <c r="Q68" s="34">
        <f t="shared" si="28"/>
        <v>-1.3367990217844894</v>
      </c>
      <c r="R68" s="34">
        <f t="shared" si="28"/>
        <v>-1.3333601303747575</v>
      </c>
      <c r="S68" s="34">
        <f t="shared" si="28"/>
        <v>-1.3558525234838177</v>
      </c>
      <c r="T68" s="34">
        <f t="shared" si="28"/>
        <v>-1.3463995314987247</v>
      </c>
      <c r="U68" s="34">
        <f t="shared" si="28"/>
        <v>-1.3381660743273673</v>
      </c>
      <c r="V68" s="34">
        <f t="shared" si="28"/>
        <v>-1.3486739765568401</v>
      </c>
      <c r="W68" s="34">
        <f t="shared" si="28"/>
        <v>-1.3757427441844698</v>
      </c>
    </row>
    <row r="69" spans="2:23" outlineLevel="1" x14ac:dyDescent="0.2">
      <c r="B69" s="79" t="s">
        <v>117</v>
      </c>
      <c r="C69" s="34"/>
      <c r="D69" s="34">
        <f>-C56*D41/100*(1/(1+D41/100))</f>
        <v>-9.5541390828261328</v>
      </c>
      <c r="E69" s="34">
        <f t="shared" ref="E69:T69" si="29">-D56*E41/100*(1/(1+E41/100))</f>
        <v>-9.5187472343543398</v>
      </c>
      <c r="F69" s="34">
        <f>-E56*F41/100*(1/(1+F41/100))</f>
        <v>-3.7005483331888849</v>
      </c>
      <c r="G69" s="34">
        <f>-F56*G41/100*(1/(1+G41/100))</f>
        <v>-2.7195800094546931</v>
      </c>
      <c r="H69" s="34">
        <f t="shared" si="29"/>
        <v>-2.6522594282147107</v>
      </c>
      <c r="I69" s="34">
        <f t="shared" si="29"/>
        <v>-2.595695724002216</v>
      </c>
      <c r="J69" s="34">
        <f t="shared" si="29"/>
        <v>-2.540545447362299</v>
      </c>
      <c r="K69" s="34">
        <f t="shared" si="29"/>
        <v>-2.492300774593402</v>
      </c>
      <c r="L69" s="34">
        <f t="shared" si="29"/>
        <v>-2.4491393168240969</v>
      </c>
      <c r="M69" s="34">
        <f t="shared" si="29"/>
        <v>-2.4096378706526691</v>
      </c>
      <c r="N69" s="34">
        <f t="shared" si="29"/>
        <v>-2.3754021358851323</v>
      </c>
      <c r="O69" s="34">
        <f t="shared" si="29"/>
        <v>-2.3486223920126301</v>
      </c>
      <c r="P69" s="34">
        <f t="shared" si="29"/>
        <v>-2.3724960424850097</v>
      </c>
      <c r="Q69" s="34">
        <f t="shared" si="29"/>
        <v>-2.402158975368847</v>
      </c>
      <c r="R69" s="34">
        <f t="shared" si="29"/>
        <v>-2.4384443164093357</v>
      </c>
      <c r="S69" s="34">
        <f t="shared" si="29"/>
        <v>-2.4819871129974729</v>
      </c>
      <c r="T69" s="34">
        <f t="shared" si="29"/>
        <v>-2.5320487820590256</v>
      </c>
      <c r="U69" s="34">
        <f t="shared" ref="U69" si="30">-T56*U41/100*(1/(1+U41/100))</f>
        <v>-2.5897770356552572</v>
      </c>
      <c r="V69" s="34">
        <f t="shared" ref="V69" si="31">-U56*V41/100*(1/(1+V41/100))</f>
        <v>-2.655485658925703</v>
      </c>
      <c r="W69" s="34">
        <f t="shared" ref="W69" si="32">-V56*W41/100*(1/(1+W41/100))</f>
        <v>-2.7289611124700368</v>
      </c>
    </row>
    <row r="70" spans="2:23" outlineLevel="1" x14ac:dyDescent="0.2">
      <c r="B70" s="79" t="s">
        <v>118</v>
      </c>
      <c r="C70" s="49"/>
      <c r="D70" s="49">
        <v>0.14982868406347905</v>
      </c>
      <c r="E70" s="49">
        <v>-5.3859036614568367E-2</v>
      </c>
      <c r="F70" s="49">
        <v>5.4820123310478863E-2</v>
      </c>
      <c r="G70" s="49">
        <v>7.9460539406078778E-3</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3.4867119999999998</v>
      </c>
      <c r="E71" s="50">
        <f>'Input data'!E16</f>
        <v>1.75285</v>
      </c>
      <c r="F71" s="50">
        <f>'Input data'!F16</f>
        <v>0.62550260000000002</v>
      </c>
      <c r="G71" s="50">
        <f>'Input data'!G16</f>
        <v>0.3284956</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3">D14</f>
        <v>9.56404E-2</v>
      </c>
      <c r="E72" s="34">
        <f t="shared" si="33"/>
        <v>2.4978720000000001</v>
      </c>
      <c r="F72" s="34">
        <f t="shared" si="33"/>
        <v>-0.13437760000000001</v>
      </c>
      <c r="G72" s="34">
        <f t="shared" si="33"/>
        <v>0.1957401</v>
      </c>
      <c r="H72" s="34">
        <f>H14</f>
        <v>0</v>
      </c>
      <c r="I72" s="34">
        <f t="shared" si="33"/>
        <v>0</v>
      </c>
      <c r="J72" s="34">
        <f t="shared" si="33"/>
        <v>0</v>
      </c>
      <c r="K72" s="34">
        <f t="shared" si="33"/>
        <v>0</v>
      </c>
      <c r="L72" s="34">
        <f t="shared" si="33"/>
        <v>0</v>
      </c>
      <c r="M72" s="34">
        <f t="shared" si="33"/>
        <v>0</v>
      </c>
      <c r="N72" s="34">
        <f t="shared" si="33"/>
        <v>0</v>
      </c>
      <c r="O72" s="34">
        <f t="shared" si="33"/>
        <v>0</v>
      </c>
      <c r="P72" s="34">
        <f t="shared" si="33"/>
        <v>0</v>
      </c>
      <c r="Q72" s="34">
        <f t="shared" si="33"/>
        <v>0</v>
      </c>
      <c r="R72" s="34">
        <f t="shared" si="33"/>
        <v>0</v>
      </c>
      <c r="S72" s="34">
        <f t="shared" si="33"/>
        <v>0</v>
      </c>
      <c r="T72" s="34">
        <f t="shared" si="33"/>
        <v>0</v>
      </c>
      <c r="U72" s="34">
        <f t="shared" si="33"/>
        <v>0</v>
      </c>
      <c r="V72" s="34">
        <f t="shared" si="33"/>
        <v>0</v>
      </c>
      <c r="W72" s="34">
        <f t="shared" si="33"/>
        <v>0</v>
      </c>
    </row>
    <row r="73" spans="2:23" outlineLevel="1" x14ac:dyDescent="0.2">
      <c r="B73" s="89" t="s">
        <v>121</v>
      </c>
      <c r="C73" s="49"/>
      <c r="D73" s="49">
        <f>+D71-D72</f>
        <v>3.3910715999999996</v>
      </c>
      <c r="E73" s="49">
        <f t="shared" ref="E73:T73" si="34">+E71-E72</f>
        <v>-0.74502200000000007</v>
      </c>
      <c r="F73" s="49">
        <f>+F71-F72</f>
        <v>0.75988020000000001</v>
      </c>
      <c r="G73" s="49">
        <f t="shared" si="34"/>
        <v>0.1327555</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-6.2281121776039035</v>
      </c>
      <c r="E76" s="78">
        <f t="shared" ref="E76:T76" si="36">E58-E67</f>
        <v>-6.6919850786797799</v>
      </c>
      <c r="F76" s="78">
        <f t="shared" si="36"/>
        <v>-5.4353291790997966</v>
      </c>
      <c r="G76" s="78">
        <f t="shared" si="36"/>
        <v>-4.1978783004559723</v>
      </c>
      <c r="H76" s="78">
        <f t="shared" si="36"/>
        <v>-4.1588281772854447</v>
      </c>
      <c r="I76" s="78">
        <f t="shared" si="36"/>
        <v>-4.0761239583200979</v>
      </c>
      <c r="J76" s="78">
        <f t="shared" si="36"/>
        <v>-4.0881889426500155</v>
      </c>
      <c r="K76" s="78">
        <f t="shared" si="36"/>
        <v>-4.151157620342433</v>
      </c>
      <c r="L76" s="78">
        <f t="shared" si="36"/>
        <v>-4.241438365284365</v>
      </c>
      <c r="M76" s="78">
        <f t="shared" si="36"/>
        <v>-4.3682529793938389</v>
      </c>
      <c r="N76" s="78">
        <f t="shared" si="36"/>
        <v>-4.5233392838832769</v>
      </c>
      <c r="O76" s="78">
        <f t="shared" si="36"/>
        <v>-4.7108063954858617</v>
      </c>
      <c r="P76" s="78">
        <f t="shared" si="36"/>
        <v>-4.9195918565556509</v>
      </c>
      <c r="Q76" s="78">
        <f t="shared" si="36"/>
        <v>-5.1656669122638554</v>
      </c>
      <c r="R76" s="78">
        <f t="shared" si="36"/>
        <v>-5.4440739897340418</v>
      </c>
      <c r="S76" s="78">
        <f t="shared" si="36"/>
        <v>-5.7339172075705704</v>
      </c>
      <c r="T76" s="78">
        <f t="shared" si="36"/>
        <v>-6.0381266246982133</v>
      </c>
      <c r="U76" s="78">
        <f t="shared" ref="U76:W76" si="37">U58-U67</f>
        <v>-6.3641106122957689</v>
      </c>
      <c r="V76" s="78">
        <f t="shared" si="37"/>
        <v>-6.712477417797202</v>
      </c>
      <c r="W76" s="78">
        <f t="shared" si="37"/>
        <v>-7.092901972348983</v>
      </c>
    </row>
    <row r="77" spans="2:23" x14ac:dyDescent="0.2">
      <c r="B77" s="26" t="s">
        <v>42</v>
      </c>
      <c r="D77" s="34">
        <f>D59-D67-D63-D64-D65</f>
        <v>-6.957930671073747</v>
      </c>
      <c r="E77" s="34">
        <f>E59-E67-E63-E64-E65</f>
        <v>-6.0453560584753543</v>
      </c>
      <c r="F77" s="34">
        <f t="shared" ref="F77:W77" si="38">F59-F67-F63-F64-F65</f>
        <v>-4.8832742323084872</v>
      </c>
      <c r="G77" s="34">
        <f t="shared" si="38"/>
        <v>-3.9990434287887702</v>
      </c>
      <c r="H77" s="34">
        <f t="shared" si="38"/>
        <v>-4.0262757395721156</v>
      </c>
      <c r="I77" s="34">
        <f t="shared" si="38"/>
        <v>-4.031943186912013</v>
      </c>
      <c r="J77" s="34">
        <f t="shared" si="38"/>
        <v>-4.0881942773807856</v>
      </c>
      <c r="K77" s="34">
        <f t="shared" si="38"/>
        <v>-4.1511620673138934</v>
      </c>
      <c r="L77" s="34">
        <f t="shared" si="38"/>
        <v>-4.2414410368248578</v>
      </c>
      <c r="M77" s="34">
        <f t="shared" si="38"/>
        <v>-4.368254318891946</v>
      </c>
      <c r="N77" s="34">
        <f t="shared" si="38"/>
        <v>-4.5233410679456885</v>
      </c>
      <c r="O77" s="34">
        <f t="shared" si="38"/>
        <v>-4.7108095134354393</v>
      </c>
      <c r="P77" s="34">
        <f t="shared" si="38"/>
        <v>-4.9195958640949158</v>
      </c>
      <c r="Q77" s="34">
        <f t="shared" si="38"/>
        <v>-5.1656700298816203</v>
      </c>
      <c r="R77" s="34">
        <f t="shared" si="38"/>
        <v>-5.4440775524785687</v>
      </c>
      <c r="S77" s="34">
        <f t="shared" si="38"/>
        <v>-5.733919434833961</v>
      </c>
      <c r="T77" s="34">
        <f t="shared" si="38"/>
        <v>-6.0381288519616048</v>
      </c>
      <c r="U77" s="34">
        <f t="shared" si="38"/>
        <v>-6.3641132851930182</v>
      </c>
      <c r="V77" s="34">
        <f t="shared" si="38"/>
        <v>-6.7124814280460683</v>
      </c>
      <c r="W77" s="34">
        <f t="shared" si="38"/>
        <v>-7.0929064284590524</v>
      </c>
    </row>
    <row r="78" spans="2:23" x14ac:dyDescent="0.2">
      <c r="B78" s="35" t="s">
        <v>123</v>
      </c>
      <c r="C78" s="35"/>
      <c r="D78" s="285">
        <f>'Input data'!D45</f>
        <v>22.366195594702013</v>
      </c>
      <c r="E78" s="285">
        <f>'Input data'!E45</f>
        <v>8.1638648438954018</v>
      </c>
      <c r="F78" s="285">
        <f>'Input data'!F45</f>
        <v>3.6361332673542281</v>
      </c>
      <c r="G78" s="49">
        <f>'Input data'!G33+G41-(G$12-F$12)/'Input data'!$C$64*100</f>
        <v>6.270238</v>
      </c>
      <c r="H78" s="49">
        <f>'Input data'!H33+H41-(H$12-G$12)/'Input data'!$C$64*100</f>
        <v>5.9853492500000005</v>
      </c>
      <c r="I78" s="49">
        <f>'Input data'!I33+I41-(I$12-H$12)/'Input data'!$C$64*100</f>
        <v>5.7738624999999999</v>
      </c>
      <c r="J78" s="49">
        <f>'Input data'!J33+J41-(J$12-I$12)/'Input data'!$C$64*100</f>
        <v>5.6063637499999999</v>
      </c>
      <c r="K78" s="49">
        <f>'Input data'!K33+K41-(K$12-J$12)/'Input data'!$C$64*100</f>
        <v>5.5596879999999995</v>
      </c>
      <c r="L78" s="49">
        <f>'Input data'!L33+L41-(L$12-K$12)/'Input data'!$C$64*100</f>
        <v>5.4909772500000003</v>
      </c>
      <c r="M78" s="49">
        <f>'Input data'!M33+M41-(M$12-L$12)/'Input data'!$C$64*100</f>
        <v>5.3812804999999999</v>
      </c>
      <c r="N78" s="49">
        <f>'Input data'!N33+N41-(N$12-M$12)/'Input data'!$C$64*100</f>
        <v>5.1812727499999998</v>
      </c>
      <c r="O78" s="49">
        <f>'Input data'!O33+O41-(O$12-N$12)/'Input data'!$C$64*100</f>
        <v>5.0926849999999995</v>
      </c>
      <c r="P78" s="49">
        <f>'Input data'!P33+P41-(P$12-O$12)/'Input data'!$C$64*100</f>
        <v>5.0442130000000001</v>
      </c>
      <c r="Q78" s="49">
        <f>'Input data'!Q33+Q41-(Q$12-P$12)/'Input data'!$C$64*100</f>
        <v>4.9957409999999998</v>
      </c>
      <c r="R78" s="49">
        <f>'Input data'!R33+R41-(R$12-Q$12)/'Input data'!$C$64*100</f>
        <v>4.9472690000000004</v>
      </c>
      <c r="S78" s="49">
        <f>'Input data'!S33+S41-(S$12-R$12)/'Input data'!$C$64*100</f>
        <v>4.9290859999999999</v>
      </c>
      <c r="T78" s="49">
        <f>'Input data'!T33+T41-(T$12-S$12)/'Input data'!$C$64*100</f>
        <v>4.8651499999999999</v>
      </c>
      <c r="U78" s="49">
        <f>'Input data'!U33+U41-(U$12-T$12)/'Input data'!$C$64*100</f>
        <v>4.7999669999999997</v>
      </c>
      <c r="V78" s="49">
        <f>'Input data'!V33+V41-(V$12-U$12)/'Input data'!$C$64*100</f>
        <v>4.7552560000000001</v>
      </c>
      <c r="W78" s="49">
        <f>'Input data'!W33+W41-(W$12-V$12)/'Input data'!$C$64*100</f>
        <v>4.7271320000000001</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1</v>
      </c>
      <c r="E83" s="29">
        <f t="shared" si="39"/>
        <v>1</v>
      </c>
      <c r="F83" s="29">
        <f t="shared" si="39"/>
        <v>1</v>
      </c>
      <c r="G83" s="29">
        <f t="shared" si="39"/>
        <v>1</v>
      </c>
      <c r="H83" s="29">
        <f t="shared" si="39"/>
        <v>1</v>
      </c>
      <c r="I83" s="29">
        <f t="shared" si="39"/>
        <v>1</v>
      </c>
      <c r="J83" s="29">
        <f t="shared" si="39"/>
        <v>1</v>
      </c>
      <c r="K83" s="29">
        <f t="shared" si="39"/>
        <v>1</v>
      </c>
      <c r="L83" s="29">
        <f t="shared" si="39"/>
        <v>1</v>
      </c>
      <c r="M83" s="29">
        <f t="shared" si="39"/>
        <v>1</v>
      </c>
      <c r="N83" s="29">
        <f t="shared" si="39"/>
        <v>1</v>
      </c>
      <c r="O83" s="29">
        <f t="shared" si="39"/>
        <v>1</v>
      </c>
      <c r="P83" s="29">
        <f t="shared" si="39"/>
        <v>1</v>
      </c>
      <c r="Q83" s="29">
        <f t="shared" si="39"/>
        <v>1</v>
      </c>
      <c r="R83" s="29">
        <f t="shared" si="39"/>
        <v>1</v>
      </c>
      <c r="S83" s="29">
        <f t="shared" si="39"/>
        <v>1</v>
      </c>
      <c r="T83" s="29">
        <f t="shared" si="39"/>
        <v>1</v>
      </c>
      <c r="U83" s="29">
        <f t="shared" si="39"/>
        <v>1</v>
      </c>
      <c r="V83" s="29">
        <f t="shared" si="39"/>
        <v>1</v>
      </c>
      <c r="W83" s="29">
        <f t="shared" si="39"/>
        <v>1</v>
      </c>
    </row>
    <row r="84" spans="2:23" x14ac:dyDescent="0.2">
      <c r="B84" s="26" t="s">
        <v>126</v>
      </c>
      <c r="D84" s="29">
        <f t="shared" ref="D84:W84" si="40">IF(AND(D83=0,ABS(D87-C87*D42/((1+D23/100)*(1+D41/100)))&lt;((C93*C87*D42/((1+D23/100)*(1+D41/100))+(D38*C87*C94*D42/((1+D23/100)*(1+D41/100)))))),1,0)</f>
        <v>0</v>
      </c>
      <c r="E84" s="29">
        <f t="shared" si="40"/>
        <v>0</v>
      </c>
      <c r="F84" s="29">
        <f t="shared" si="40"/>
        <v>0</v>
      </c>
      <c r="G84" s="29">
        <f t="shared" si="40"/>
        <v>0</v>
      </c>
      <c r="H84" s="29">
        <f t="shared" si="40"/>
        <v>0</v>
      </c>
      <c r="I84" s="29">
        <f t="shared" si="40"/>
        <v>0</v>
      </c>
      <c r="J84" s="29">
        <f t="shared" si="40"/>
        <v>0</v>
      </c>
      <c r="K84" s="29">
        <f t="shared" si="40"/>
        <v>0</v>
      </c>
      <c r="L84" s="29">
        <f t="shared" si="40"/>
        <v>0</v>
      </c>
      <c r="M84" s="29">
        <f t="shared" si="40"/>
        <v>0</v>
      </c>
      <c r="N84" s="29">
        <f t="shared" si="40"/>
        <v>0</v>
      </c>
      <c r="O84" s="29">
        <f t="shared" si="40"/>
        <v>0</v>
      </c>
      <c r="P84" s="29">
        <f t="shared" si="40"/>
        <v>0</v>
      </c>
      <c r="Q84" s="29">
        <f t="shared" si="40"/>
        <v>0</v>
      </c>
      <c r="R84" s="29">
        <f t="shared" si="40"/>
        <v>0</v>
      </c>
      <c r="S84" s="29">
        <f t="shared" si="40"/>
        <v>0</v>
      </c>
      <c r="T84" s="29">
        <f t="shared" si="40"/>
        <v>0</v>
      </c>
      <c r="U84" s="29">
        <f t="shared" si="40"/>
        <v>0</v>
      </c>
      <c r="V84" s="29">
        <f t="shared" si="40"/>
        <v>0</v>
      </c>
      <c r="W84" s="29">
        <f t="shared" si="40"/>
        <v>0</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76.688640000000007</v>
      </c>
      <c r="D87" s="110">
        <f>D56</f>
        <v>74.056958506530165</v>
      </c>
      <c r="E87" s="110">
        <f>E56</f>
        <v>73.520357526734585</v>
      </c>
      <c r="F87" s="110">
        <f>F56</f>
        <v>74.287964673525892</v>
      </c>
      <c r="G87" s="110">
        <f>G56</f>
        <v>73.830404245193094</v>
      </c>
      <c r="H87" s="110">
        <f t="shared" ref="H87:W87" si="41">G87*(1+H101/100)*H42-H59-H60+H61+H62+H63+H64+H65+H71</f>
        <v>73.662350946452165</v>
      </c>
      <c r="I87" s="110">
        <f t="shared" si="41"/>
        <v>73.530611343219988</v>
      </c>
      <c r="J87" s="110">
        <f t="shared" si="41"/>
        <v>73.599576624501026</v>
      </c>
      <c r="K87" s="110">
        <f t="shared" si="41"/>
        <v>73.826808567005486</v>
      </c>
      <c r="L87" s="110">
        <f t="shared" si="41"/>
        <v>74.178589043683047</v>
      </c>
      <c r="M87" s="110">
        <f t="shared" si="41"/>
        <v>74.713566943665512</v>
      </c>
      <c r="N87" s="110">
        <f t="shared" si="41"/>
        <v>75.514428996767435</v>
      </c>
      <c r="O87" s="110">
        <f t="shared" si="41"/>
        <v>76.52458363382766</v>
      </c>
      <c r="P87" s="110">
        <f t="shared" si="41"/>
        <v>77.72856146420061</v>
      </c>
      <c r="Q87" s="110">
        <f t="shared" si="41"/>
        <v>79.155270379311119</v>
      </c>
      <c r="R87" s="110">
        <f t="shared" si="41"/>
        <v>80.827539922261067</v>
      </c>
      <c r="S87" s="110">
        <f t="shared" si="41"/>
        <v>82.723617493350361</v>
      </c>
      <c r="T87" s="110">
        <f t="shared" si="41"/>
        <v>84.8832958044908</v>
      </c>
      <c r="U87" s="110">
        <f t="shared" si="41"/>
        <v>87.319463306803925</v>
      </c>
      <c r="V87" s="110">
        <f t="shared" si="41"/>
        <v>90.027781089118577</v>
      </c>
      <c r="W87" s="110">
        <f t="shared" si="41"/>
        <v>93.015979204813036</v>
      </c>
    </row>
    <row r="88" spans="2:23" x14ac:dyDescent="0.2">
      <c r="B88" s="26" t="s">
        <v>127</v>
      </c>
      <c r="C88" s="34"/>
      <c r="D88" s="254">
        <f>'Input data'!C66*$D$87</f>
        <v>59.783430721748879</v>
      </c>
      <c r="E88" s="34">
        <f t="shared" ref="E88:W88" si="42">IF(E87=0,0,IF(E83=1,D87*E42/((1+E23/100)*(1+E41/100))-E89-E90,IF(AND(E83=0,E84=1),(1-D93-E38*D94)*D87*E42/((1+E23/100)*(1+E41/100)),E87)))</f>
        <v>57.543983859764531</v>
      </c>
      <c r="F88" s="34">
        <f t="shared" si="42"/>
        <v>60.461160881524357</v>
      </c>
      <c r="G88" s="34">
        <f t="shared" si="42"/>
        <v>60.796005795280387</v>
      </c>
      <c r="H88" s="34">
        <f t="shared" si="42"/>
        <v>60.766019361852237</v>
      </c>
      <c r="I88" s="34">
        <f t="shared" si="42"/>
        <v>60.629869651256342</v>
      </c>
      <c r="J88" s="34">
        <f t="shared" si="42"/>
        <v>60.587409402010927</v>
      </c>
      <c r="K88" s="34">
        <f t="shared" si="42"/>
        <v>60.639072021729703</v>
      </c>
      <c r="L88" s="34">
        <f t="shared" si="42"/>
        <v>60.77545900710254</v>
      </c>
      <c r="M88" s="34">
        <f t="shared" si="42"/>
        <v>61.039005745448982</v>
      </c>
      <c r="N88" s="34">
        <f t="shared" si="42"/>
        <v>61.507870712241484</v>
      </c>
      <c r="O88" s="34">
        <f t="shared" si="42"/>
        <v>62.128608658262635</v>
      </c>
      <c r="P88" s="34">
        <f t="shared" si="42"/>
        <v>62.977484979009198</v>
      </c>
      <c r="Q88" s="34">
        <f t="shared" si="42"/>
        <v>63.986832977178082</v>
      </c>
      <c r="R88" s="34">
        <f t="shared" si="42"/>
        <v>65.180583044194179</v>
      </c>
      <c r="S88" s="34">
        <f t="shared" si="42"/>
        <v>66.557917054098496</v>
      </c>
      <c r="T88" s="34">
        <f t="shared" si="42"/>
        <v>68.150671896383969</v>
      </c>
      <c r="U88" s="34">
        <f t="shared" si="42"/>
        <v>69.963544323655654</v>
      </c>
      <c r="V88" s="34">
        <f t="shared" si="42"/>
        <v>71.992210671259159</v>
      </c>
      <c r="W88" s="34">
        <f t="shared" si="42"/>
        <v>74.234948730500278</v>
      </c>
    </row>
    <row r="89" spans="2:23" x14ac:dyDescent="0.2">
      <c r="B89" s="105" t="s">
        <v>128</v>
      </c>
      <c r="C89" s="34"/>
      <c r="D89" s="254">
        <f>'Input data'!C67*$D$87</f>
        <v>3.8296324056498476</v>
      </c>
      <c r="E89" s="34">
        <f t="shared" ref="E89:W89" si="43">IF(E87=0,0,IF(E83=1,E38*D87*D94*E42/((1+E23/100)*(1+E41/100)),IF(AND(E83=0,E84=1),(E38*D87*D94*E42/((1+E23/100)*(1+E41/100)))*(1-ABS(E87-D87*E42/((1+E23/100)*(1+E41/100)))/((E38*D87*D94*E42/((1+E23/100)*(1+E41/100)))+(D93*D87*E42/((1+E23/100)*(1+E41/100))))),0)))</f>
        <v>3.0580010029883016</v>
      </c>
      <c r="F89" s="34">
        <f t="shared" si="43"/>
        <v>4.3719460048068246</v>
      </c>
      <c r="G89" s="34">
        <f t="shared" si="43"/>
        <v>4.4789228536851375</v>
      </c>
      <c r="H89" s="34">
        <f t="shared" si="43"/>
        <v>4.5596474161635028</v>
      </c>
      <c r="I89" s="34">
        <f t="shared" si="43"/>
        <v>4.6323897917836048</v>
      </c>
      <c r="J89" s="34">
        <f t="shared" si="43"/>
        <v>4.7122573638560583</v>
      </c>
      <c r="K89" s="34">
        <f t="shared" si="43"/>
        <v>4.7996703624592945</v>
      </c>
      <c r="L89" s="34">
        <f t="shared" si="43"/>
        <v>4.8942616142458588</v>
      </c>
      <c r="M89" s="34">
        <f t="shared" si="43"/>
        <v>4.9998598189398873</v>
      </c>
      <c r="N89" s="34">
        <f t="shared" si="43"/>
        <v>5.1235063953091604</v>
      </c>
      <c r="O89" s="34">
        <f t="shared" si="43"/>
        <v>5.2615346322081056</v>
      </c>
      <c r="P89" s="34">
        <f t="shared" si="43"/>
        <v>5.3334240927404775</v>
      </c>
      <c r="Q89" s="34">
        <f t="shared" si="43"/>
        <v>5.4189035451699858</v>
      </c>
      <c r="R89" s="34">
        <f t="shared" si="43"/>
        <v>5.5199996014868784</v>
      </c>
      <c r="S89" s="34">
        <f t="shared" si="43"/>
        <v>5.6366429764108386</v>
      </c>
      <c r="T89" s="34">
        <f t="shared" si="43"/>
        <v>5.7715298657889349</v>
      </c>
      <c r="U89" s="34">
        <f t="shared" si="43"/>
        <v>5.9250580272247015</v>
      </c>
      <c r="V89" s="34">
        <f t="shared" si="43"/>
        <v>6.096861299109035</v>
      </c>
      <c r="W89" s="34">
        <f t="shared" si="43"/>
        <v>6.286793831391793</v>
      </c>
    </row>
    <row r="90" spans="2:23" x14ac:dyDescent="0.2">
      <c r="B90" s="105" t="s">
        <v>129</v>
      </c>
      <c r="C90" s="34"/>
      <c r="D90" s="254">
        <f>'Input data'!C68*$D$87</f>
        <v>3.9703023838181903</v>
      </c>
      <c r="E90" s="34">
        <f t="shared" ref="E90:W90" si="44">IF(E87=0,0,IF(E83=1,(1-D94)*D87*E42/((1+E23/100)*(1+E41/100)),IF(AND(E83=0,E84=1),(D93*D87*E42/((1+E23/100)*(1+E41/100)))*(1-ABS(E87-D87*E42/((1+E23/100)*(1+E41/100)))/((E38*D87*D94*E42/((1+E23/100)*(1+E41/100)))+(D93*D87*E42/((1+E23/100)*(1+E41/100))))),0)))</f>
        <v>3.782375114175264</v>
      </c>
      <c r="F90" s="34">
        <f t="shared" si="44"/>
        <v>4.0990544829312858</v>
      </c>
      <c r="G90" s="34">
        <f t="shared" si="44"/>
        <v>4.153926939332159</v>
      </c>
      <c r="H90" s="34">
        <f t="shared" si="44"/>
        <v>4.1778559911509854</v>
      </c>
      <c r="I90" s="34">
        <f t="shared" si="44"/>
        <v>4.192227941859942</v>
      </c>
      <c r="J90" s="34">
        <f t="shared" si="44"/>
        <v>4.2117209159840359</v>
      </c>
      <c r="K90" s="34">
        <f t="shared" si="44"/>
        <v>4.2369085624740555</v>
      </c>
      <c r="L90" s="34">
        <f t="shared" si="44"/>
        <v>4.2674300570502899</v>
      </c>
      <c r="M90" s="34">
        <f t="shared" si="44"/>
        <v>4.3064483998828029</v>
      </c>
      <c r="N90" s="34">
        <f t="shared" si="44"/>
        <v>4.3597126053335131</v>
      </c>
      <c r="O90" s="34">
        <f t="shared" si="44"/>
        <v>4.4236339478710676</v>
      </c>
      <c r="P90" s="34">
        <f t="shared" si="44"/>
        <v>4.4980605358953101</v>
      </c>
      <c r="Q90" s="34">
        <f t="shared" si="44"/>
        <v>4.5838669446992135</v>
      </c>
      <c r="R90" s="34">
        <f t="shared" si="44"/>
        <v>4.682883286845982</v>
      </c>
      <c r="S90" s="34">
        <f t="shared" si="44"/>
        <v>4.7951402552704332</v>
      </c>
      <c r="T90" s="34">
        <f t="shared" si="44"/>
        <v>4.92296741761972</v>
      </c>
      <c r="U90" s="34">
        <f t="shared" si="44"/>
        <v>5.0667503436277972</v>
      </c>
      <c r="V90" s="34">
        <f t="shared" si="44"/>
        <v>5.2262317009531944</v>
      </c>
      <c r="W90" s="34">
        <f t="shared" si="44"/>
        <v>5.4013346705719929</v>
      </c>
    </row>
    <row r="91" spans="2:23" x14ac:dyDescent="0.2">
      <c r="B91" s="105" t="s">
        <v>130</v>
      </c>
      <c r="C91" s="34"/>
      <c r="D91" s="254">
        <f>'Input data'!C69*$D$87</f>
        <v>6.0932860543360015</v>
      </c>
      <c r="E91" s="34">
        <f>IF(E87=0,0,IF(E83=1,'Input data'!$C$58*(E87-D87*E42/((1+E23/100)*(1+E41/100))),0))</f>
        <v>8.5464808631096361</v>
      </c>
      <c r="F91" s="34">
        <f>IF(F87=0,0,IF(F83=1,'Input data'!$C$58*(F87-E87*F42/((1+F23/100)*(1+F41/100))),0))</f>
        <v>5.0102104556098732</v>
      </c>
      <c r="G91" s="34">
        <f>IF(G87=0,0,IF(G83=1,'Input data'!$C$58*(G87-F87*G42/((1+G23/100)*(1+G41/100))),0))</f>
        <v>4.1175308070216552</v>
      </c>
      <c r="H91" s="34">
        <f>IF(H87=0,0,IF(H83=1,'Input data'!$C$58*(H87-G87*H42/((1+H23/100)*(1+H41/100))),0))</f>
        <v>3.8904723032553807</v>
      </c>
      <c r="I91" s="34">
        <f>IF(I87=0,0,IF(I83=1,'Input data'!$C$58*(I87-H87*I42/((1+I23/100)*(1+I41/100))),0))</f>
        <v>3.8131047228863668</v>
      </c>
      <c r="J91" s="34">
        <f>IF(J87=0,0,IF(J83=1,'Input data'!$C$58*(J87-I87*J42/((1+J23/100)*(1+J41/100))),0))</f>
        <v>3.8243911923854181</v>
      </c>
      <c r="K91" s="34">
        <f>IF(K87=0,0,IF(K83=1,'Input data'!$C$58*(K87-J87*K42/((1+K23/100)*(1+K41/100))),0))</f>
        <v>3.8832967028061192</v>
      </c>
      <c r="L91" s="34">
        <f>IF(L87=0,0,IF(L83=1,'Input data'!$C$58*(L87-K87*L42/((1+L23/100)*(1+L41/100))),0))</f>
        <v>3.9677519201753224</v>
      </c>
      <c r="M91" s="34">
        <f>IF(M87=0,0,IF(M83=1,'Input data'!$C$58*(M87-L87*M42/((1+M23/100)*(1+M41/100))),0))</f>
        <v>4.0863835930430934</v>
      </c>
      <c r="N91" s="34">
        <f>IF(N87=0,0,IF(N83=1,'Input data'!$C$58*(N87-M87*N42/((1+N23/100)*(1+N41/100))),0))</f>
        <v>4.231462674579995</v>
      </c>
      <c r="O91" s="34">
        <f>IF(O87=0,0,IF(O83=1,'Input data'!$C$58*(O87-N87*O42/((1+O23/100)*(1+O41/100))),0))</f>
        <v>4.4068331333656108</v>
      </c>
      <c r="P91" s="34">
        <f>IF(P87=0,0,IF(P83=1,'Input data'!$C$58*(P87-O87*P42/((1+P23/100)*(1+P41/100))),0))</f>
        <v>4.6021463367460331</v>
      </c>
      <c r="Q91" s="34">
        <f>IF(Q87=0,0,IF(Q83=1,'Input data'!$C$58*(Q87-P87*Q42/((1+Q23/100)*(1+Q41/100))),0))</f>
        <v>4.8323429565495779</v>
      </c>
      <c r="R91" s="34">
        <f>IF(R87=0,0,IF(R83=1,'Input data'!$C$58*(R87-Q87*R42/((1+R23/100)*(1+R41/100))),0))</f>
        <v>5.0927853162132664</v>
      </c>
      <c r="S91" s="34">
        <f>IF(S87=0,0,IF(S83=1,'Input data'!$C$58*(S87-R87*S42/((1+S23/100)*(1+S41/100))),0))</f>
        <v>5.363925878701119</v>
      </c>
      <c r="T91" s="34">
        <f>IF(T87=0,0,IF(T83=1,'Input data'!$C$58*(T87-S87*T42/((1+T23/100)*(1+T41/100))),0))</f>
        <v>5.6485056356116052</v>
      </c>
      <c r="U91" s="34">
        <f>IF(U87=0,0,IF(U83=1,'Input data'!$C$58*(U87-T87*U42/((1+U23/100)*(1+U41/100))),0))</f>
        <v>5.9534549196382747</v>
      </c>
      <c r="V91" s="34">
        <f>IF(V87=0,0,IF(V83=1,'Input data'!$C$58*(V87-U87*V42/((1+V23/100)*(1+V41/100))),0))</f>
        <v>6.2793427299544726</v>
      </c>
      <c r="W91" s="34">
        <f>IF(W87=0,0,IF(W83=1,'Input data'!$C$58*(W87-V87*W42/((1+W23/100)*(1+W41/100))),0))</f>
        <v>6.6352197053596012</v>
      </c>
    </row>
    <row r="92" spans="2:23" x14ac:dyDescent="0.2">
      <c r="B92" s="107" t="s">
        <v>131</v>
      </c>
      <c r="C92" s="49"/>
      <c r="D92" s="255">
        <f>'Input data'!C70*$D$87</f>
        <v>0.38030214097798132</v>
      </c>
      <c r="E92" s="49">
        <f>IF(E87=0,0,IF(E83=1,'Input data'!$C$57*(E87-D87*E42/((1+E23/100)*(1+E41/100))),0))</f>
        <v>0.58951668669685331</v>
      </c>
      <c r="F92" s="49">
        <f>IF(F87=0,0,IF(F83=1,'Input data'!$C$57*(F87-E87*F42/((1+F23/100)*(1+F41/100))),0))</f>
        <v>0.34559284865354467</v>
      </c>
      <c r="G92" s="49">
        <f>IF(G87=0,0,IF(G83=1,'Input data'!$C$57*(G87-F87*G42/((1+G23/100)*(1+G41/100))),0))</f>
        <v>0.284017849873759</v>
      </c>
      <c r="H92" s="49">
        <f>IF(H87=0,0,IF(H83=1,'Input data'!$C$57*(H87-G87*H42/((1+H23/100)*(1+H41/100))),0))</f>
        <v>0.26835587403006228</v>
      </c>
      <c r="I92" s="49">
        <f>IF(I87=0,0,IF(I83=1,'Input data'!$C$57*(I87-H87*I42/((1+I23/100)*(1+I41/100))),0))</f>
        <v>0.26301923543372918</v>
      </c>
      <c r="J92" s="49">
        <f>IF(J87=0,0,IF(J83=1,'Input data'!$C$57*(J87-I87*J42/((1+J23/100)*(1+J41/100))),0))</f>
        <v>0.2637977502645884</v>
      </c>
      <c r="K92" s="49">
        <f>IF(K87=0,0,IF(K83=1,'Input data'!$C$57*(K87-J87*K42/((1+K23/100)*(1+K41/100))),0))</f>
        <v>0.26786091753631197</v>
      </c>
      <c r="L92" s="49">
        <f>IF(L87=0,0,IF(L83=1,'Input data'!$C$57*(L87-K87*L42/((1+L23/100)*(1+L41/100))),0))</f>
        <v>0.27368644510903034</v>
      </c>
      <c r="M92" s="49">
        <f>IF(M87=0,0,IF(M83=1,'Input data'!$C$57*(M87-L87*M42/((1+M23/100)*(1+M41/100))),0))</f>
        <v>0.28186938635075071</v>
      </c>
      <c r="N92" s="49">
        <f>IF(N87=0,0,IF(N83=1,'Input data'!$C$57*(N87-M87*N42/((1+N23/100)*(1+N41/100))),0))</f>
        <v>0.29187660930327924</v>
      </c>
      <c r="O92" s="49">
        <f>IF(O87=0,0,IF(O83=1,'Input data'!$C$57*(O87-N87*O42/((1+O23/100)*(1+O41/100))),0))</f>
        <v>0.30397326212023612</v>
      </c>
      <c r="P92" s="49">
        <f>IF(P87=0,0,IF(P83=1,'Input data'!$C$57*(P87-O87*P42/((1+P23/100)*(1+P41/100))),0))</f>
        <v>0.31744551980959362</v>
      </c>
      <c r="Q92" s="49">
        <f>IF(Q87=0,0,IF(Q83=1,'Input data'!$C$57*(Q87-P87*Q42/((1+Q23/100)*(1+Q41/100))),0))</f>
        <v>0.33332395571426665</v>
      </c>
      <c r="R92" s="49">
        <f>IF(R87=0,0,IF(R83=1,'Input data'!$C$57*(R87-Q87*R42/((1+R23/100)*(1+R41/100))),0))</f>
        <v>0.3512886735207702</v>
      </c>
      <c r="S92" s="49">
        <f>IF(S87=0,0,IF(S83=1,'Input data'!$C$57*(S87-R87*S42/((1+S23/100)*(1+S41/100))),0))</f>
        <v>0.36999132886946556</v>
      </c>
      <c r="T92" s="49">
        <f>IF(T87=0,0,IF(T83=1,'Input data'!$C$57*(T87-S87*T42/((1+T23/100)*(1+T41/100))),0))</f>
        <v>0.38962098908657444</v>
      </c>
      <c r="U92" s="49">
        <f>IF(U87=0,0,IF(U83=1,'Input data'!$C$57*(U87-T87*U42/((1+U23/100)*(1+U41/100))),0))</f>
        <v>0.41065569265748608</v>
      </c>
      <c r="V92" s="49">
        <f>IF(V87=0,0,IF(V83=1,'Input data'!$C$57*(V87-U87*V42/((1+V23/100)*(1+V41/100))),0))</f>
        <v>0.43313468784271558</v>
      </c>
      <c r="W92" s="49">
        <f>IF(W87=0,0,IF(W83=1,'Input data'!$C$57*(W87-V87*W42/((1+W23/100)*(1+W41/100))),0))</f>
        <v>0.45768226698936743</v>
      </c>
    </row>
    <row r="93" spans="2:23" x14ac:dyDescent="0.2">
      <c r="B93" s="26" t="s">
        <v>73</v>
      </c>
      <c r="C93" s="36"/>
      <c r="D93" s="36">
        <f>1-D94</f>
        <v>5.8746799929838001E-2</v>
      </c>
      <c r="E93" s="36">
        <f>IF(E87&lt;&gt;0,(E90+E92)/(E88+E89+E90+E91+E92),0)</f>
        <v>5.9465050877674841E-2</v>
      </c>
      <c r="F93" s="36">
        <f t="shared" ref="F93" si="45">IF(F87&lt;&gt;0,(F90+F92)/(F88+F89+F90+F91+F92),0)</f>
        <v>5.9829978531755049E-2</v>
      </c>
      <c r="G93" s="36">
        <f>IF(G87&lt;&gt;0,(G90+G92)/(G88+G89+G90+G91+G92),0)</f>
        <v>6.0109989029280719E-2</v>
      </c>
      <c r="H93" s="36">
        <f>IF(H87&lt;&gt;0,(H90+H92)/(H88+H89+H90+H91+H92),0)</f>
        <v>6.0359353293151875E-2</v>
      </c>
      <c r="I93" s="36">
        <f t="shared" ref="I93:W93" si="46">IF(I87&lt;&gt;0,(I90+I92)/(I88+I89+I90+I91+I92),0)</f>
        <v>6.0590373123621186E-2</v>
      </c>
      <c r="J93" s="36">
        <f t="shared" si="46"/>
        <v>6.0809027327458035E-2</v>
      </c>
      <c r="K93" s="36">
        <f t="shared" si="46"/>
        <v>6.1018071449232721E-2</v>
      </c>
      <c r="L93" s="36">
        <f t="shared" si="46"/>
        <v>6.1218696131913497E-2</v>
      </c>
      <c r="M93" s="36">
        <f>IF(M87&lt;&gt;0,(M90+M92)/(M88+M89+M90+M91+M92),0)</f>
        <v>6.1412109927681188E-2</v>
      </c>
      <c r="N93" s="36">
        <f t="shared" si="46"/>
        <v>6.1598680893633108E-2</v>
      </c>
      <c r="O93" s="36">
        <f t="shared" si="46"/>
        <v>6.1778934108456446E-2</v>
      </c>
      <c r="P93" s="36">
        <f t="shared" si="46"/>
        <v>6.1952851886018477E-2</v>
      </c>
      <c r="Q93" s="36">
        <f t="shared" si="46"/>
        <v>6.2120827543767583E-2</v>
      </c>
      <c r="R93" s="36">
        <f t="shared" si="46"/>
        <v>6.2282879884858013E-2</v>
      </c>
      <c r="S93" s="36">
        <f t="shared" si="46"/>
        <v>6.2438415299658427E-2</v>
      </c>
      <c r="T93" s="36">
        <f t="shared" si="46"/>
        <v>6.2586971398266897E-2</v>
      </c>
      <c r="U93" s="36">
        <f t="shared" si="46"/>
        <v>6.2728352063273443E-2</v>
      </c>
      <c r="V93" s="36">
        <f t="shared" si="46"/>
        <v>6.2862444462489842E-2</v>
      </c>
      <c r="W93" s="36">
        <f t="shared" si="46"/>
        <v>6.2989359329974029E-2</v>
      </c>
    </row>
    <row r="94" spans="2:23" x14ac:dyDescent="0.2">
      <c r="B94" s="35" t="s">
        <v>74</v>
      </c>
      <c r="C94" s="108"/>
      <c r="D94" s="108">
        <f>(D88+D89+D91)/D87</f>
        <v>0.941253200070162</v>
      </c>
      <c r="E94" s="108">
        <f t="shared" ref="E94:F94" si="47">IF(E87&lt;&gt;0,(E88+E89+E91)/(E88+E89+E90+E91+E92),1)</f>
        <v>0.94053494912232516</v>
      </c>
      <c r="F94" s="108">
        <f t="shared" si="47"/>
        <v>0.94017002146824513</v>
      </c>
      <c r="G94" s="108">
        <f>IF(G87&lt;&gt;0,(G88+G89+G91)/(G88+G89+G90+G91+G92),1)</f>
        <v>0.93989001097071911</v>
      </c>
      <c r="H94" s="108">
        <f>IF(H87&lt;&gt;0,(H88+H89+H91)/(H88+H89+H90+H91+H92),1)</f>
        <v>0.93964064670684799</v>
      </c>
      <c r="I94" s="108">
        <f t="shared" ref="I94:W94" si="48">IF(I87&lt;&gt;0,(I88+I89+I91)/(I88+I89+I90+I91+I92),1)</f>
        <v>0.93940962687637886</v>
      </c>
      <c r="J94" s="108">
        <f t="shared" si="48"/>
        <v>0.93919097267254203</v>
      </c>
      <c r="K94" s="108">
        <f t="shared" si="48"/>
        <v>0.93898192855076723</v>
      </c>
      <c r="L94" s="108">
        <f t="shared" si="48"/>
        <v>0.93878130386808645</v>
      </c>
      <c r="M94" s="108">
        <f t="shared" si="48"/>
        <v>0.93858789007231891</v>
      </c>
      <c r="N94" s="108">
        <f t="shared" si="48"/>
        <v>0.93840131910636693</v>
      </c>
      <c r="O94" s="108">
        <f t="shared" si="48"/>
        <v>0.93822106589154353</v>
      </c>
      <c r="P94" s="108">
        <f t="shared" si="48"/>
        <v>0.9380471481139816</v>
      </c>
      <c r="Q94" s="108">
        <f t="shared" si="48"/>
        <v>0.93787917245623253</v>
      </c>
      <c r="R94" s="108">
        <f t="shared" si="48"/>
        <v>0.93771712011514208</v>
      </c>
      <c r="S94" s="108">
        <f t="shared" si="48"/>
        <v>0.93756158470034157</v>
      </c>
      <c r="T94" s="108">
        <f t="shared" si="48"/>
        <v>0.93741302860173303</v>
      </c>
      <c r="U94" s="108">
        <f t="shared" si="48"/>
        <v>0.93727164793672646</v>
      </c>
      <c r="V94" s="108">
        <f t="shared" si="48"/>
        <v>0.93713755553751021</v>
      </c>
      <c r="W94" s="108">
        <f t="shared" si="48"/>
        <v>0.93701064067002593</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3.2392629999999998</v>
      </c>
      <c r="D96" s="115">
        <f>D35</f>
        <v>4.4184200000000002</v>
      </c>
      <c r="E96" s="115">
        <f>E98+E99</f>
        <v>7.2293640000000003</v>
      </c>
      <c r="F96" s="115">
        <f>F98+F99</f>
        <v>7.2143069999999998</v>
      </c>
      <c r="G96" s="115">
        <f>G98+G99</f>
        <v>5.985741</v>
      </c>
      <c r="H96" s="115">
        <f>H98+H99</f>
        <v>6.1266569950914258</v>
      </c>
      <c r="I96" s="115">
        <f t="shared" ref="I96:W96" si="49">I98+I99</f>
        <v>6.2185541201633292</v>
      </c>
      <c r="J96" s="115">
        <f t="shared" si="49"/>
        <v>6.2915043465930225</v>
      </c>
      <c r="K96" s="115">
        <f t="shared" si="49"/>
        <v>6.3482790719815005</v>
      </c>
      <c r="L96" s="115">
        <f t="shared" si="49"/>
        <v>6.3907518299931834</v>
      </c>
      <c r="M96" s="115">
        <f t="shared" si="49"/>
        <v>6.4203822036899831</v>
      </c>
      <c r="N96" s="115">
        <f t="shared" si="49"/>
        <v>6.4384569759832049</v>
      </c>
      <c r="O96" s="115">
        <f t="shared" si="49"/>
        <v>6.4460823416539226</v>
      </c>
      <c r="P96" s="115">
        <f t="shared" si="49"/>
        <v>6.4330900290657365</v>
      </c>
      <c r="Q96" s="115">
        <f t="shared" si="49"/>
        <v>6.4104637781901852</v>
      </c>
      <c r="R96" s="115">
        <f t="shared" si="49"/>
        <v>6.3792758703650616</v>
      </c>
      <c r="S96" s="115">
        <f t="shared" si="49"/>
        <v>6.3404807613409879</v>
      </c>
      <c r="T96" s="115">
        <f t="shared" si="49"/>
        <v>6.2949862415079352</v>
      </c>
      <c r="U96" s="115">
        <f t="shared" si="49"/>
        <v>6.2436291325501223</v>
      </c>
      <c r="V96" s="115">
        <f t="shared" si="49"/>
        <v>6.1871539811964347</v>
      </c>
      <c r="W96" s="115">
        <f t="shared" si="49"/>
        <v>6.1262309242227895</v>
      </c>
    </row>
    <row r="97" spans="2:25" x14ac:dyDescent="0.2">
      <c r="B97" s="33" t="s">
        <v>133</v>
      </c>
      <c r="C97" s="1"/>
      <c r="D97" s="34"/>
      <c r="E97" s="266">
        <f>((E35*D87)-(E37*D90+D92))/(D88+D89+D91)</f>
        <v>6.7655053535585585</v>
      </c>
      <c r="F97" s="266">
        <f>((F35*E87)-(F37*E90+E92))/(E88+E89+E91)</f>
        <v>7.2550668566257404</v>
      </c>
      <c r="G97" s="266">
        <f>((G35*F87)-(G37*F90+F92))/(F88+F89+F91)</f>
        <v>5.9831597704831863</v>
      </c>
      <c r="H97" s="34">
        <f t="shared" ref="H97:W97" si="50">IF(G87&gt;0,(G97*G88+H36*(G91+G89))/(G88+G89+G91),H36)</f>
        <v>6.1076691448886695</v>
      </c>
      <c r="I97" s="34">
        <f t="shared" si="50"/>
        <v>6.2070890126683302</v>
      </c>
      <c r="J97" s="34">
        <f t="shared" si="50"/>
        <v>6.2864080477606503</v>
      </c>
      <c r="K97" s="34">
        <f t="shared" si="50"/>
        <v>6.348556060798046</v>
      </c>
      <c r="L97" s="34">
        <f t="shared" si="50"/>
        <v>6.3955130584184294</v>
      </c>
      <c r="M97" s="34">
        <f t="shared" si="50"/>
        <v>6.428821572715492</v>
      </c>
      <c r="N97" s="34">
        <f t="shared" si="50"/>
        <v>6.4498424560512326</v>
      </c>
      <c r="O97" s="34">
        <f t="shared" si="50"/>
        <v>6.4597459090527964</v>
      </c>
      <c r="P97" s="34">
        <f t="shared" si="50"/>
        <v>6.4582472611861101</v>
      </c>
      <c r="Q97" s="34">
        <f t="shared" si="50"/>
        <v>6.4465456553523648</v>
      </c>
      <c r="R97" s="34">
        <f t="shared" si="50"/>
        <v>6.4257754829514662</v>
      </c>
      <c r="S97" s="34">
        <f t="shared" si="50"/>
        <v>6.3969465809964943</v>
      </c>
      <c r="T97" s="34">
        <f t="shared" si="50"/>
        <v>6.3610193520131633</v>
      </c>
      <c r="U97" s="34">
        <f t="shared" si="50"/>
        <v>6.3188792140971488</v>
      </c>
      <c r="V97" s="34">
        <f t="shared" si="50"/>
        <v>6.271314075390598</v>
      </c>
      <c r="W97" s="34">
        <f t="shared" si="50"/>
        <v>6.2190331914571138</v>
      </c>
    </row>
    <row r="98" spans="2:25" x14ac:dyDescent="0.2">
      <c r="B98" s="26" t="s">
        <v>134</v>
      </c>
      <c r="C98" s="34"/>
      <c r="D98" s="34"/>
      <c r="E98" s="266">
        <f>E35</f>
        <v>7.2293640000000003</v>
      </c>
      <c r="F98" s="266">
        <f>F35</f>
        <v>7.2143069999999998</v>
      </c>
      <c r="G98" s="266">
        <f>G35</f>
        <v>5.985741</v>
      </c>
      <c r="H98" s="34">
        <f t="shared" ref="H98:W98" si="51">(H97*(G88+G89+G91)+H37*(G90+G92))/G87</f>
        <v>6.1266569950914258</v>
      </c>
      <c r="I98" s="34">
        <f t="shared" si="51"/>
        <v>6.2185541201633292</v>
      </c>
      <c r="J98" s="34">
        <f t="shared" si="51"/>
        <v>6.2915043465930225</v>
      </c>
      <c r="K98" s="34">
        <f t="shared" si="51"/>
        <v>6.3482790719815005</v>
      </c>
      <c r="L98" s="34">
        <f t="shared" si="51"/>
        <v>6.3907518299931834</v>
      </c>
      <c r="M98" s="34">
        <f t="shared" si="51"/>
        <v>6.4203822036899831</v>
      </c>
      <c r="N98" s="34">
        <f t="shared" si="51"/>
        <v>6.4384569759832049</v>
      </c>
      <c r="O98" s="34">
        <f t="shared" si="51"/>
        <v>6.4460823416539226</v>
      </c>
      <c r="P98" s="34">
        <f t="shared" si="51"/>
        <v>6.4330900290657365</v>
      </c>
      <c r="Q98" s="34">
        <f t="shared" si="51"/>
        <v>6.4104637781901852</v>
      </c>
      <c r="R98" s="34">
        <f t="shared" si="51"/>
        <v>6.3792758703650616</v>
      </c>
      <c r="S98" s="34">
        <f t="shared" si="51"/>
        <v>6.3404807613409879</v>
      </c>
      <c r="T98" s="34">
        <f t="shared" si="51"/>
        <v>6.2949862415079352</v>
      </c>
      <c r="U98" s="34">
        <f t="shared" si="51"/>
        <v>6.2436291325501223</v>
      </c>
      <c r="V98" s="34">
        <f t="shared" si="51"/>
        <v>6.1871539811964347</v>
      </c>
      <c r="W98" s="34">
        <f t="shared" si="51"/>
        <v>6.1262309242227895</v>
      </c>
    </row>
    <row r="99" spans="2:25" x14ac:dyDescent="0.2">
      <c r="B99" s="35" t="s">
        <v>135</v>
      </c>
      <c r="C99" s="114"/>
      <c r="D99" s="49"/>
      <c r="E99" s="49">
        <f t="shared" ref="E99:G99" si="52">E108</f>
        <v>0</v>
      </c>
      <c r="F99" s="49">
        <f t="shared" si="52"/>
        <v>0</v>
      </c>
      <c r="G99" s="49">
        <f t="shared" si="52"/>
        <v>0</v>
      </c>
      <c r="H99" s="49">
        <f>H108</f>
        <v>0</v>
      </c>
      <c r="I99" s="49">
        <f t="shared" ref="I99:W99" si="53">I108</f>
        <v>0</v>
      </c>
      <c r="J99" s="49">
        <f t="shared" si="53"/>
        <v>0</v>
      </c>
      <c r="K99" s="49">
        <f t="shared" si="53"/>
        <v>0</v>
      </c>
      <c r="L99" s="49">
        <f t="shared" si="53"/>
        <v>0</v>
      </c>
      <c r="M99" s="49">
        <f t="shared" si="53"/>
        <v>0</v>
      </c>
      <c r="N99" s="49">
        <f t="shared" si="53"/>
        <v>0</v>
      </c>
      <c r="O99" s="49">
        <f t="shared" si="53"/>
        <v>0</v>
      </c>
      <c r="P99" s="49">
        <f t="shared" si="53"/>
        <v>0</v>
      </c>
      <c r="Q99" s="49">
        <f t="shared" si="53"/>
        <v>0</v>
      </c>
      <c r="R99" s="49">
        <f t="shared" si="53"/>
        <v>0</v>
      </c>
      <c r="S99" s="49">
        <f t="shared" si="53"/>
        <v>0</v>
      </c>
      <c r="T99" s="49">
        <f t="shared" si="53"/>
        <v>0</v>
      </c>
      <c r="U99" s="49">
        <f t="shared" si="53"/>
        <v>0</v>
      </c>
      <c r="V99" s="49">
        <f t="shared" si="53"/>
        <v>0</v>
      </c>
      <c r="W99" s="49">
        <f t="shared" si="53"/>
        <v>0</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186</v>
      </c>
      <c r="C101" s="115">
        <f t="shared" ref="C101:W101" si="54">((1+C96/100)/((1+C23/100)*(1+C41/100))-1)*100</f>
        <v>-9.4036063835330364</v>
      </c>
      <c r="D101" s="115">
        <f t="shared" si="54"/>
        <v>-12.59645324791714</v>
      </c>
      <c r="E101" s="115">
        <f t="shared" si="54"/>
        <v>-5.6971512852683421</v>
      </c>
      <c r="F101" s="115">
        <f t="shared" si="54"/>
        <v>-0.58471536016967418</v>
      </c>
      <c r="G101" s="115">
        <f t="shared" si="54"/>
        <v>-1.1361143862935852</v>
      </c>
      <c r="H101" s="115">
        <f t="shared" si="54"/>
        <v>-9.2968523138925452E-2</v>
      </c>
      <c r="I101" s="115">
        <f t="shared" si="54"/>
        <v>0.15096086933279462</v>
      </c>
      <c r="J101" s="115">
        <f t="shared" si="54"/>
        <v>0.4815522536036454</v>
      </c>
      <c r="K101" s="115">
        <f t="shared" si="54"/>
        <v>0.67837223035018823</v>
      </c>
      <c r="L101" s="115">
        <f t="shared" si="54"/>
        <v>0.78542179930720657</v>
      </c>
      <c r="M101" s="115">
        <f t="shared" si="54"/>
        <v>0.92097052301476356</v>
      </c>
      <c r="N101" s="115">
        <f t="shared" si="54"/>
        <v>1.1353407043247277</v>
      </c>
      <c r="O101" s="115">
        <f t="shared" si="54"/>
        <v>1.2295973992593634</v>
      </c>
      <c r="P101" s="115">
        <f t="shared" si="54"/>
        <v>1.2652829874192362</v>
      </c>
      <c r="Q101" s="115">
        <f t="shared" si="54"/>
        <v>1.291827243182353</v>
      </c>
      <c r="R101" s="115">
        <f t="shared" si="54"/>
        <v>1.3102283660009428</v>
      </c>
      <c r="S101" s="115">
        <f t="shared" si="54"/>
        <v>1.2912399651857198</v>
      </c>
      <c r="T101" s="115">
        <f t="shared" si="54"/>
        <v>1.3114081217386886</v>
      </c>
      <c r="U101" s="115">
        <f t="shared" si="54"/>
        <v>1.3272445002668887</v>
      </c>
      <c r="V101" s="115">
        <f t="shared" si="54"/>
        <v>1.3177892407795655</v>
      </c>
      <c r="W101" s="115">
        <f t="shared" si="54"/>
        <v>1.2875384217868158</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76.688640000000007</v>
      </c>
      <c r="D106" s="34">
        <v>74.056970000000007</v>
      </c>
      <c r="E106" s="34">
        <v>73.52037</v>
      </c>
      <c r="F106" s="34">
        <v>74.287980000000005</v>
      </c>
      <c r="G106" s="34">
        <v>73.830430000000007</v>
      </c>
      <c r="H106" s="34">
        <v>73.646929999999998</v>
      </c>
      <c r="I106" s="34">
        <v>73.501530000000002</v>
      </c>
      <c r="J106" s="34">
        <v>73.558300000000003</v>
      </c>
      <c r="K106" s="34">
        <v>73.774619999999999</v>
      </c>
      <c r="L106" s="34">
        <v>74.116619999999998</v>
      </c>
      <c r="M106" s="34">
        <v>74.642790000000005</v>
      </c>
      <c r="N106" s="34">
        <v>75.435599999999994</v>
      </c>
      <c r="O106" s="34">
        <v>76.43844</v>
      </c>
      <c r="P106" s="34">
        <v>77.635739999999998</v>
      </c>
      <c r="Q106" s="34">
        <v>79.056359999999998</v>
      </c>
      <c r="R106" s="34">
        <v>80.723029999999994</v>
      </c>
      <c r="S106" s="34">
        <v>82.613979999999998</v>
      </c>
      <c r="T106" s="34">
        <v>84.768919999999994</v>
      </c>
      <c r="U106" s="34">
        <v>87.200680000000006</v>
      </c>
      <c r="V106" s="34">
        <v>89.904880000000006</v>
      </c>
      <c r="W106" s="34">
        <v>92.889250000000004</v>
      </c>
    </row>
    <row r="107" spans="2:25" x14ac:dyDescent="0.2">
      <c r="B107" s="26" t="s">
        <v>132</v>
      </c>
      <c r="C107" s="34">
        <v>3.2392629999999998</v>
      </c>
      <c r="D107" s="34">
        <v>4.4184200000000002</v>
      </c>
      <c r="E107" s="34">
        <v>7.2293640000000003</v>
      </c>
      <c r="F107" s="34">
        <v>7.2143069999999998</v>
      </c>
      <c r="G107" s="34">
        <v>5.985741</v>
      </c>
      <c r="H107" s="34">
        <v>6.1044499999999999</v>
      </c>
      <c r="I107" s="34">
        <v>6.1989190000000001</v>
      </c>
      <c r="J107" s="34">
        <v>6.2741720000000001</v>
      </c>
      <c r="K107" s="34">
        <v>6.3330200000000003</v>
      </c>
      <c r="L107" s="34">
        <v>6.3773600000000004</v>
      </c>
      <c r="M107" s="34">
        <v>6.4086689999999997</v>
      </c>
      <c r="N107" s="34">
        <v>6.4282469999999998</v>
      </c>
      <c r="O107" s="34">
        <v>6.4372160000000003</v>
      </c>
      <c r="P107" s="34">
        <v>6.4254199999999999</v>
      </c>
      <c r="Q107" s="34">
        <v>6.4038449999999996</v>
      </c>
      <c r="R107" s="34">
        <v>6.3735799999999996</v>
      </c>
      <c r="S107" s="34">
        <v>6.3355899999999998</v>
      </c>
      <c r="T107" s="34">
        <v>6.2907970000000004</v>
      </c>
      <c r="U107" s="34">
        <v>6.2400469999999997</v>
      </c>
      <c r="V107" s="34">
        <v>6.1840960000000003</v>
      </c>
      <c r="W107" s="34">
        <v>6.1236240000000004</v>
      </c>
    </row>
    <row r="108" spans="2:25" x14ac:dyDescent="0.2">
      <c r="B108" s="26" t="s">
        <v>185</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5"/>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HU</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-4.8520380000000003</v>
      </c>
      <c r="D12" s="2">
        <f>'Input data'!D13</f>
        <v>-4.121645</v>
      </c>
      <c r="E12" s="2">
        <f>'Input data'!E13</f>
        <v>-1.336916</v>
      </c>
      <c r="F12" s="2">
        <f>'Input data'!F13</f>
        <v>3.4885699999999999E-2</v>
      </c>
      <c r="G12" s="3">
        <f>IF(G10&lt;=$C$6,
IF(AND(F87=1,F77&lt;=-3.05,'Criteria results'!$F$6&lt;0.5),F12+0.5,
IF(AND(F78&lt;=-1.55,'Criteria results'!$F$5=4,'Criteria results'!$F$6&lt;0.4),F12+0.4,
IF(AND(F78&lt;=-1.55,'Criteria results'!$F$5=7,'Criteria results'!$F$6&lt;0.25),F12+0.25,
F12+'Criteria results'!$F$6))),F12)</f>
        <v>0.69488570000000005</v>
      </c>
      <c r="H12" s="3">
        <f>IF(H10&lt;=$C$6,
IF(AND(G87=1,G77&lt;=-3.05,'Criteria results'!$F$6&lt;0.5),G12+0.5,
IF(AND(G78&lt;=-1.55,'Criteria results'!$F$5=4,'Criteria results'!$F$6&lt;0.4),G12+0.4,
IF(AND(G78&lt;=-1.55,'Criteria results'!$F$5=7,'Criteria results'!$F$6&lt;0.25),G12+0.25,
G12+'Criteria results'!$F$6))),G12)</f>
        <v>1.3548857000000001</v>
      </c>
      <c r="I12" s="3">
        <f>IF(I10&lt;=$C$6,
IF(AND(H87=1,H77&lt;=-3.05,'Criteria results'!$F$6&lt;0.5),H12+0.5,
IF(AND(H78&lt;=-1.55,'Criteria results'!$F$5=4,'Criteria results'!$F$6&lt;0.4),H12+0.4,
IF(AND(H78&lt;=-1.55,'Criteria results'!$F$5=7,'Criteria results'!$F$6&lt;0.25),H12+0.25,
H12+'Criteria results'!$F$6))),H12)</f>
        <v>2.0148857000000002</v>
      </c>
      <c r="J12" s="3">
        <f>IF(J10&lt;=$C$6,
IF(AND(I87=1,I77&lt;=-3.05,'Criteria results'!$F$6&lt;0.5+J91),I12+0.5+J91,
IF(AND(I78&lt;=-1.55,'Criteria results'!$F$5=4,'Criteria results'!$F$6&lt;0.4),I12+0.4,
IF(AND(I78&lt;=-1.55,'Criteria results'!$F$5=7,'Criteria results'!$F$6&lt;0.25),I12+0.25,
I12+'Criteria results'!$F$6))),I12)</f>
        <v>2.6748857000000004</v>
      </c>
      <c r="K12" s="119">
        <f>IF(K10&lt;=$C$6,
IF(AND(J87=1,J77&lt;=-3.05,'Criteria results'!$F$6&lt;0.5+K91),J12+0.5+K91,
IF(AND(J78&lt;=-1.55,'Criteria results'!$F$5=4,'Criteria results'!$F$6&lt;0.4),J12+0.4,
IF(AND(J78&lt;=-1.55,'Criteria results'!$F$5=7,'Criteria results'!$F$6&lt;0.25),J12+0.25,
J12+'Criteria results'!$F$6))),J12)</f>
        <v>2.6748857000000004</v>
      </c>
      <c r="L12" s="119">
        <f>IF(L10&lt;=$C$6,
IF(AND(K87=1,K77&lt;=-3.05,'Criteria results'!$F$6&lt;0.5+L91),K12+0.5+L91,
IF(AND(K78&lt;=-1.55,'Criteria results'!$F$5=4,'Criteria results'!$F$6&lt;0.4),K12+0.4,
IF(AND(K78&lt;=-1.55,'Criteria results'!$F$5=7,'Criteria results'!$F$6&lt;0.25),K12+0.25,
K12+'Criteria results'!$F$6))),K12)</f>
        <v>2.6748857000000004</v>
      </c>
      <c r="M12" s="119">
        <f>IF(M10&lt;=$C$6,
IF(AND(L87=1,L77&lt;=-3.05,'Criteria results'!$F$6&lt;0.5+M91),L12+0.5+M91,
IF(AND(L78&lt;=-1.55,'Criteria results'!$F$5=4,'Criteria results'!$F$6&lt;0.4),L12+0.4,
IF(AND(L78&lt;=-1.55,'Criteria results'!$F$5=7,'Criteria results'!$F$6&lt;0.25),L12+0.25,
L12+'Criteria results'!$F$6))),L12)</f>
        <v>2.6748857000000004</v>
      </c>
      <c r="N12" s="119">
        <f>M12</f>
        <v>2.6748857000000004</v>
      </c>
      <c r="O12" s="119">
        <f t="shared" ref="O12:W12" si="0">N12</f>
        <v>2.6748857000000004</v>
      </c>
      <c r="P12" s="119">
        <f t="shared" si="0"/>
        <v>2.6748857000000004</v>
      </c>
      <c r="Q12" s="119">
        <f t="shared" si="0"/>
        <v>2.6748857000000004</v>
      </c>
      <c r="R12" s="119">
        <f t="shared" si="0"/>
        <v>2.6748857000000004</v>
      </c>
      <c r="S12" s="119">
        <f t="shared" si="0"/>
        <v>2.6748857000000004</v>
      </c>
      <c r="T12" s="119">
        <f t="shared" si="0"/>
        <v>2.6748857000000004</v>
      </c>
      <c r="U12" s="119">
        <f t="shared" si="0"/>
        <v>2.6748857000000004</v>
      </c>
      <c r="V12" s="119">
        <f t="shared" si="0"/>
        <v>2.6748857000000004</v>
      </c>
      <c r="W12" s="119">
        <f t="shared" si="0"/>
        <v>2.6748857000000004</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0.66</v>
      </c>
      <c r="H13" s="263">
        <f t="shared" ref="H13:W13" si="1">H12-G12</f>
        <v>0.66</v>
      </c>
      <c r="I13" s="263">
        <f t="shared" si="1"/>
        <v>0.66000000000000014</v>
      </c>
      <c r="J13" s="263">
        <f t="shared" si="1"/>
        <v>0.66000000000000014</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-0.1086859</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-0.1919507</v>
      </c>
      <c r="D15" s="2">
        <f>'Input data'!D15</f>
        <v>9.56404E-2</v>
      </c>
      <c r="E15" s="2">
        <f>'Input data'!E15</f>
        <v>2.4978720000000001</v>
      </c>
      <c r="F15" s="2">
        <f>'Input data'!F15</f>
        <v>-0.13437760000000001</v>
      </c>
      <c r="G15" s="2">
        <f>'Input data'!G15</f>
        <v>0.1957401</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16.0166</v>
      </c>
      <c r="E18" s="101">
        <f>'Input data'!E20</f>
        <v>16.121750000000002</v>
      </c>
      <c r="F18" s="101">
        <f>'Input data'!F20</f>
        <v>16.128519999999998</v>
      </c>
      <c r="G18" s="101">
        <f>'Input data'!G20</f>
        <v>16.013810000000003</v>
      </c>
      <c r="H18" s="101">
        <f>'Input data'!H20</f>
        <v>15.929929999999999</v>
      </c>
      <c r="I18" s="101">
        <f>'Input data'!I20</f>
        <v>15.87402</v>
      </c>
      <c r="J18" s="101">
        <f>'Input data'!J20</f>
        <v>15.87527</v>
      </c>
      <c r="K18" s="101">
        <f>'Input data'!K20</f>
        <v>15.887590000000001</v>
      </c>
      <c r="L18" s="101">
        <f>'Input data'!L20</f>
        <v>15.930810000000001</v>
      </c>
      <c r="M18" s="101">
        <f>'Input data'!M20</f>
        <v>16.00994</v>
      </c>
      <c r="N18" s="101">
        <f>'Input data'!N20</f>
        <v>16.10998</v>
      </c>
      <c r="O18" s="101">
        <f>'Input data'!O20</f>
        <v>16.238250000000001</v>
      </c>
      <c r="P18" s="101">
        <f>'Input data'!P20</f>
        <v>16.391590000000001</v>
      </c>
      <c r="Q18" s="101">
        <f>'Input data'!Q20</f>
        <v>16.5777</v>
      </c>
      <c r="R18" s="101">
        <f>'Input data'!R20</f>
        <v>16.78951</v>
      </c>
      <c r="S18" s="101">
        <f>'Input data'!S20</f>
        <v>17.006</v>
      </c>
      <c r="T18" s="101">
        <f>'Input data'!T20</f>
        <v>17.227679999999999</v>
      </c>
      <c r="U18" s="101">
        <f>'Input data'!U20</f>
        <v>17.461649999999999</v>
      </c>
      <c r="V18" s="101">
        <f>'Input data'!V20</f>
        <v>17.708970000000001</v>
      </c>
      <c r="W18" s="101">
        <f>'Input data'!W20</f>
        <v>17.97964</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0.53881259999999997</v>
      </c>
      <c r="D19" s="101">
        <f>'Input data'!D26</f>
        <v>1.182669</v>
      </c>
      <c r="E19" s="101">
        <f>'Input data'!E26</f>
        <v>1.1819139999999999</v>
      </c>
      <c r="F19" s="101">
        <f>'Input data'!F26</f>
        <v>1.18116</v>
      </c>
      <c r="G19" s="101">
        <f>'Input data'!G26</f>
        <v>1.1804049999999999</v>
      </c>
      <c r="H19" s="101">
        <f>'Input data'!H26</f>
        <v>1.179651</v>
      </c>
      <c r="I19" s="101">
        <f>'Input data'!I26</f>
        <v>1.1788959999999999</v>
      </c>
      <c r="J19" s="101">
        <f>'Input data'!J26</f>
        <v>1.178142</v>
      </c>
      <c r="K19" s="101">
        <f>'Input data'!K26</f>
        <v>1.177387</v>
      </c>
      <c r="L19" s="101">
        <f>'Input data'!L26</f>
        <v>1.176633</v>
      </c>
      <c r="M19" s="101">
        <f>'Input data'!M26</f>
        <v>1.175878</v>
      </c>
      <c r="N19" s="101">
        <f>'Input data'!N26</f>
        <v>1.1751240000000001</v>
      </c>
      <c r="O19" s="101">
        <f>'Input data'!O26</f>
        <v>1.1743699999999999</v>
      </c>
      <c r="P19" s="101">
        <f>'Input data'!P26</f>
        <v>1.1736150000000001</v>
      </c>
      <c r="Q19" s="101">
        <f>'Input data'!Q26</f>
        <v>1.1728609999999999</v>
      </c>
      <c r="R19" s="101">
        <f>'Input data'!R26</f>
        <v>1.1721060000000001</v>
      </c>
      <c r="S19" s="101">
        <f>'Input data'!S26</f>
        <v>1.1713519999999999</v>
      </c>
      <c r="T19" s="101">
        <f>'Input data'!T26</f>
        <v>1.170598</v>
      </c>
      <c r="U19" s="101">
        <f>'Input data'!U26</f>
        <v>1.169843</v>
      </c>
      <c r="V19" s="101">
        <f>'Input data'!V26</f>
        <v>1.169089</v>
      </c>
      <c r="W19" s="101">
        <f>'Input data'!W26</f>
        <v>1.168334</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42098.46</v>
      </c>
      <c r="D23" s="100">
        <f>'Baseline NFPC'!D22</f>
        <v>44028.004183516801</v>
      </c>
      <c r="E23" s="100">
        <f>'Baseline NFPC'!E22</f>
        <v>43628.368197491611</v>
      </c>
      <c r="F23" s="100">
        <f>'Baseline NFPC'!F22</f>
        <v>44682.719701791517</v>
      </c>
      <c r="G23" s="34">
        <f>IF(AND(G50&gt;1,F50&gt;1),IF(AND(G50&gt;0,F50&gt;0),G27*(G51/100+1),0)+IF(G50&gt;0,F23*(1+G52/100),0)-F23*(1+'Input data'!G30/100),IF(G50=1,G27,F23*(1+G52/100)))</f>
        <v>45926.73934389864</v>
      </c>
      <c r="H23" s="34">
        <f>IF(AND(H50&gt;1,G50&gt;1),IF(AND(H50&gt;0,G50&gt;0),H27*(H51/100+1),0)+IF(H50&gt;0,G23*(1+H52/100),0)-G23*(1+'Input data'!H30/100),IF(H50=1,H27,G23*(1+H52/100)))</f>
        <v>46881.6837183139</v>
      </c>
      <c r="I23" s="34">
        <f>IF(AND(I50&gt;1,H50&gt;1),IF(AND(I50&gt;0,H50&gt;0),I27*(I51/100+1),0)+IF(I50&gt;0,H23*(1+I52/100),0)-H23*(1+'Input data'!I30/100),IF(I50=1,I27,H23*(1+I52/100)))</f>
        <v>47820.086444207474</v>
      </c>
      <c r="J23" s="34">
        <f>IF(AND(J50&gt;1,I50&gt;1),IF(AND(J50&gt;0,I50&gt;0),J27*(J51/100+1),0)+IF(J50&gt;0,I23*(1+J52/100),0)-I23*(1+'Input data'!J30/100),IF(J50=1,J27,I23*(1+J52/100)))</f>
        <v>48751.577760948043</v>
      </c>
      <c r="K23" s="34">
        <f>IF(AND(K50&gt;1,J50&gt;1),IF(AND(K50&gt;0,J50&gt;0),K27*(K51/100+1),0)+IF(K50&gt;0,J23*(1+K52/100),0)-J23*(1+'Input data'!K30/100),IF(K50=1,K27,J23*(1+K52/100)))</f>
        <v>49968.912403741175</v>
      </c>
      <c r="L23" s="34">
        <f>IF(AND(L50&gt;1,K50&gt;1),IF(AND(L50&gt;0,K50&gt;0),L27*(L51/100+1),0)+IF(L50&gt;0,K23*(1+L52/100),0)-K23*(1+'Input data'!L30/100),IF(L50=1,L27,K23*(1+L52/100)))</f>
        <v>51218.217591953115</v>
      </c>
      <c r="M23" s="34">
        <f>IF(AND(M50&gt;1,L50&gt;1),IF(AND(M50&gt;0,L50&gt;0),M27*(M51/100+1),0)+IF(M50&gt;0,L23*(1+M52/100),0)-L23*(1+'Input data'!M30/100),IF(M50=1,M27,L23*(1+M52/100)))</f>
        <v>52479.29612208256</v>
      </c>
      <c r="N23" s="34">
        <f>IF(AND(N50&gt;1,M50&gt;1),IF(AND(N50&gt;0,M50&gt;0),N27*(N51/100+1),0)+IF(N50&gt;0,M23*(1+N52/100),0)-M23*(1+'Input data'!N30/100),IF(N50=1,N27,M23*(1+N52/100)))</f>
        <v>53475.104935409036</v>
      </c>
      <c r="O23" s="34">
        <f>IF(AND(O50&gt;1,N50&gt;1),IF(AND(O50&gt;0,N50&gt;0),O27*(O51/100+1),0)+IF(O50&gt;0,N23*(1+O52/100),0)-N23*(1+'Input data'!O30/100),IF(O50=1,O27,N23*(1+O52/100)))</f>
        <v>54481.874319015391</v>
      </c>
      <c r="P23" s="34">
        <f>IF(AND(P50&gt;1,O50&gt;1),IF(AND(P50&gt;0,O50&gt;0),P27*(P51/100+1),0)+IF(P50&gt;0,O23*(1+P52/100),0)-O23*(1+'Input data'!P30/100),IF(P50=1,P27,O23*(1+P52/100)))</f>
        <v>55486.909626859422</v>
      </c>
      <c r="Q23" s="34">
        <f>IF(AND(Q50&gt;1,P50&gt;1),IF(AND(Q50&gt;0,P50&gt;0),Q27*(Q51/100+1),0)+IF(Q50&gt;0,P23*(1+Q52/100),0)-P23*(1+'Input data'!Q30/100),IF(Q50=1,Q27,P23*(1+Q52/100)))</f>
        <v>56489.413262982642</v>
      </c>
      <c r="R23" s="34">
        <f>IF(AND(R50&gt;1,Q50&gt;1),IF(AND(R50&gt;0,Q50&gt;0),R27*(R51/100+1),0)+IF(R50&gt;0,Q23*(1+R52/100),0)-Q23*(1+'Input data'!R30/100),IF(R50=1,R27,Q23*(1+R52/100)))</f>
        <v>57488.581057954296</v>
      </c>
      <c r="S23" s="34">
        <f>IF(AND(S50&gt;1,R50&gt;1),IF(AND(S50&gt;0,R50&gt;0),S27*(S51/100+1),0)+IF(S50&gt;0,R23*(1+S52/100),0)-R23*(1+'Input data'!S30/100),IF(S50=1,S27,R23*(1+S52/100)))</f>
        <v>58501.002685907144</v>
      </c>
      <c r="T23" s="34">
        <f>IF(AND(T50&gt;1,S50&gt;1),IF(AND(T50&gt;0,S50&gt;0),T27*(T51/100+1),0)+IF(T50&gt;0,S23*(1+T52/100),0)-S23*(1+'Input data'!T30/100),IF(T50=1,T27,S23*(1+T52/100)))</f>
        <v>59499.995058273031</v>
      </c>
      <c r="U23" s="34">
        <f>IF(AND(U50&gt;1,T50&gt;1),IF(AND(U50&gt;0,T50&gt;0),U27*(U51/100+1),0)+IF(U50&gt;0,T23*(1+U52/100),0)-T23*(1+'Input data'!U30/100),IF(U50=1,U27,T23*(1+U52/100)))</f>
        <v>60483.510936587874</v>
      </c>
      <c r="V23" s="34">
        <f>IF(AND(V50&gt;1,U50&gt;1),IF(AND(V50&gt;0,U50&gt;0),V27*(V51/100+1),0)+IF(V50&gt;0,U23*(1+V52/100),0)-U23*(1+'Input data'!V30/100),IF(V50=1,V27,U23*(1+V52/100)))</f>
        <v>61462.593213389868</v>
      </c>
      <c r="W23" s="34">
        <f>IF(AND(W50&gt;1,V50&gt;1),IF(AND(W50&gt;0,V50&gt;0),W27*(W51/100+1),0)+IF(W50&gt;0,V23*(1+W52/100),0)-V23*(1+'Input data'!W30/100),IF(W50=1,W27,V23*(1+W52/100)))</f>
        <v>62446.691075985211</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7.0612209999999997</v>
      </c>
      <c r="D24" s="100">
        <f>'Baseline NFPC'!D23</f>
        <v>4.5834080000000004</v>
      </c>
      <c r="E24" s="100">
        <f>'Baseline NFPC'!E23</f>
        <v>-0.90768590000000005</v>
      </c>
      <c r="F24" s="100">
        <f>'Baseline NFPC'!F23</f>
        <v>2.4166650000000001</v>
      </c>
      <c r="G24" s="34">
        <f t="shared" ref="G24:S24" si="2">100*(G23/F23-1)</f>
        <v>2.7841180000000021</v>
      </c>
      <c r="H24" s="34">
        <f t="shared" si="2"/>
        <v>2.0792775364796734</v>
      </c>
      <c r="I24" s="34">
        <f t="shared" si="2"/>
        <v>2.0016404093588402</v>
      </c>
      <c r="J24" s="34">
        <f t="shared" si="2"/>
        <v>1.9479080570616647</v>
      </c>
      <c r="K24" s="34">
        <f t="shared" si="2"/>
        <v>2.4970158889263017</v>
      </c>
      <c r="L24" s="34">
        <f t="shared" si="2"/>
        <v>2.5001648587380521</v>
      </c>
      <c r="M24" s="34">
        <f t="shared" si="2"/>
        <v>2.4621679344178693</v>
      </c>
      <c r="N24" s="34">
        <f t="shared" si="2"/>
        <v>1.89752700000001</v>
      </c>
      <c r="O24" s="34">
        <f t="shared" si="2"/>
        <v>1.882687999999999</v>
      </c>
      <c r="P24" s="34">
        <f t="shared" si="2"/>
        <v>1.8447150000000079</v>
      </c>
      <c r="Q24" s="34">
        <f t="shared" si="2"/>
        <v>1.8067389999999905</v>
      </c>
      <c r="R24" s="34">
        <f t="shared" si="2"/>
        <v>1.7687699999999973</v>
      </c>
      <c r="S24" s="34">
        <f t="shared" si="2"/>
        <v>1.7610829999999966</v>
      </c>
      <c r="T24" s="34">
        <f>100*(T23/S23-1)</f>
        <v>1.7076499999999939</v>
      </c>
      <c r="U24" s="34">
        <f t="shared" ref="U24" si="3">100*(U23/T23-1)</f>
        <v>1.6529680000000102</v>
      </c>
      <c r="V24" s="34">
        <f t="shared" ref="V24" si="4">100*(V23/U23-1)</f>
        <v>1.6187589999999918</v>
      </c>
      <c r="W24" s="34">
        <f t="shared" ref="W24" si="5">100*(W23/V23-1)</f>
        <v>1.601132999999999</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42044.3</v>
      </c>
      <c r="D27" s="100">
        <f>+C27*(1+'Input data'!D33/100)</f>
        <v>43329.925139640996</v>
      </c>
      <c r="E27" s="100">
        <f>+D27*(1+'Input data'!E33/100)</f>
        <v>44260.154070800636</v>
      </c>
      <c r="F27" s="100">
        <f>+E27*(1+'Input data'!F33/100)</f>
        <v>45233.969964080257</v>
      </c>
      <c r="G27" s="34">
        <f>+F27*(1+'Input data'!G33/100)</f>
        <v>46351.368439873753</v>
      </c>
      <c r="H27" s="34">
        <f>+G27*(1+'Input data'!H33/100)</f>
        <v>47398.502401600002</v>
      </c>
      <c r="I27" s="34">
        <f>+H27*(1+'Input data'!I33/100)</f>
        <v>48404.005699817113</v>
      </c>
      <c r="J27" s="34">
        <f>+I27*(1+'Input data'!J33/100)</f>
        <v>49385.459840588308</v>
      </c>
      <c r="K27" s="34">
        <f>+J27*(1+'Input data'!K33/100)</f>
        <v>50400.183377787478</v>
      </c>
      <c r="L27" s="34">
        <f>+K27*(1+'Input data'!L33/100)</f>
        <v>51438.29460288761</v>
      </c>
      <c r="M27" s="34">
        <f>+L27*(1+'Input data'!M33/100)</f>
        <v>52479.29612208256</v>
      </c>
      <c r="N27" s="34">
        <f>+M27*(1+'Input data'!N33/100)</f>
        <v>53475.104410616063</v>
      </c>
      <c r="O27" s="34">
        <f>+N27*(1+'Input data'!O33/100)</f>
        <v>54481.872180089063</v>
      </c>
      <c r="P27" s="34">
        <f>+O27*(1+'Input data'!P33/100)</f>
        <v>55486.906358838547</v>
      </c>
      <c r="Q27" s="34">
        <f>+P27*(1+'Input data'!Q33/100)</f>
        <v>56489.411045655288</v>
      </c>
      <c r="R27" s="34">
        <f>+Q27*(1+'Input data'!R33/100)</f>
        <v>57488.578236513415</v>
      </c>
      <c r="S27" s="34">
        <f>+R27*(1+'Input data'!S33/100)</f>
        <v>58501.001539435696</v>
      </c>
      <c r="T27" s="34">
        <f>+S27*(1+'Input data'!T33/100)</f>
        <v>59499.993892223865</v>
      </c>
      <c r="U27" s="34">
        <f>+T27*(1+'Input data'!U33/100)</f>
        <v>60483.509156264336</v>
      </c>
      <c r="V27" s="34">
        <f>+U27*(1+'Input data'!V33/100)</f>
        <v>61462.589589741918</v>
      </c>
      <c r="W27" s="34">
        <f>+V27*(1+'Input data'!W33/100)</f>
        <v>62446.686779691947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0.12881651020471008</v>
      </c>
      <c r="D30" s="100">
        <f t="shared" ref="D30:T30" si="6">100*(D23/D27-1)</f>
        <v>1.6110783520305594</v>
      </c>
      <c r="E30" s="100">
        <f t="shared" si="6"/>
        <v>-1.4274371306940981</v>
      </c>
      <c r="F30" s="100">
        <f t="shared" si="6"/>
        <v>-1.2186643417026688</v>
      </c>
      <c r="G30" s="34">
        <f t="shared" si="6"/>
        <v>-0.91610908214271314</v>
      </c>
      <c r="H30" s="34">
        <f t="shared" si="6"/>
        <v>-1.0903692249750407</v>
      </c>
      <c r="I30" s="34">
        <f t="shared" si="6"/>
        <v>-1.2063449030042639</v>
      </c>
      <c r="J30" s="34">
        <f t="shared" si="6"/>
        <v>-1.2835398955206245</v>
      </c>
      <c r="K30" s="34">
        <f t="shared" si="6"/>
        <v>-0.85569326368041265</v>
      </c>
      <c r="L30" s="34">
        <f t="shared" si="6"/>
        <v>-0.42784663184020078</v>
      </c>
      <c r="M30" s="34">
        <f>100*(M23/M27-1)</f>
        <v>0</v>
      </c>
      <c r="N30" s="34">
        <f t="shared" si="6"/>
        <v>9.8137811210818882E-7</v>
      </c>
      <c r="O30" s="34">
        <f t="shared" si="6"/>
        <v>3.9259413053827075E-6</v>
      </c>
      <c r="P30" s="34">
        <f t="shared" si="6"/>
        <v>5.8897154042725219E-6</v>
      </c>
      <c r="Q30" s="34">
        <f t="shared" si="6"/>
        <v>3.9252088468444413E-6</v>
      </c>
      <c r="R30" s="34">
        <f t="shared" si="6"/>
        <v>4.9078285879744499E-6</v>
      </c>
      <c r="S30" s="34">
        <f t="shared" si="6"/>
        <v>1.9597466982546052E-6</v>
      </c>
      <c r="T30" s="34">
        <f t="shared" si="6"/>
        <v>1.9597466982546052E-6</v>
      </c>
      <c r="U30" s="34">
        <f t="shared" ref="U30:W30" si="7">100*(U23/U27-1)</f>
        <v>2.9434858550558829E-6</v>
      </c>
      <c r="V30" s="34">
        <f t="shared" si="7"/>
        <v>5.8956968418399924E-6</v>
      </c>
      <c r="W30" s="34">
        <f t="shared" si="7"/>
        <v>6.8799378860617821E-6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13.955157461405875</v>
      </c>
      <c r="D33" s="2">
        <f t="shared" si="8"/>
        <v>19.467028376067198</v>
      </c>
      <c r="E33" s="2">
        <f t="shared" si="8"/>
        <v>13.707449415840411</v>
      </c>
      <c r="F33" s="2">
        <f>100*((1+F24/100)*(1+F42/100)-1)</f>
        <v>7.8448926524976592</v>
      </c>
      <c r="G33" s="1">
        <f>100*((1+G24/100)*(1+G42/100)-1)</f>
        <v>6.6898877601293316</v>
      </c>
      <c r="H33" s="1">
        <f t="shared" si="8"/>
        <v>5.8829833926471009</v>
      </c>
      <c r="I33" s="1">
        <f t="shared" si="8"/>
        <v>5.7272304349907932</v>
      </c>
      <c r="J33" s="1">
        <f t="shared" si="8"/>
        <v>5.5963522501186969</v>
      </c>
      <c r="K33" s="1">
        <f t="shared" si="8"/>
        <v>6.0895229712210952</v>
      </c>
      <c r="L33" s="1">
        <f t="shared" si="8"/>
        <v>6.0171917716874246</v>
      </c>
      <c r="M33" s="1">
        <f t="shared" si="8"/>
        <v>5.9023285627750388</v>
      </c>
      <c r="N33" s="1">
        <f t="shared" si="8"/>
        <v>5.2435837311928912</v>
      </c>
      <c r="O33" s="1">
        <f t="shared" si="8"/>
        <v>5.1531222848000047</v>
      </c>
      <c r="P33" s="1">
        <f t="shared" si="8"/>
        <v>5.1032366564250031</v>
      </c>
      <c r="Q33" s="1">
        <f t="shared" si="8"/>
        <v>5.0533559067099887</v>
      </c>
      <c r="R33" s="1">
        <f t="shared" si="8"/>
        <v>5.003490354450002</v>
      </c>
      <c r="S33" s="1">
        <f t="shared" si="8"/>
        <v>4.9848741094399962</v>
      </c>
      <c r="T33" s="1">
        <f t="shared" si="8"/>
        <v>4.9190690487499911</v>
      </c>
      <c r="U33" s="1">
        <f>100*((1+U24/100)*(1+U42/100)-1)</f>
        <v>4.851986902960026</v>
      </c>
      <c r="V33" s="1">
        <f t="shared" si="8"/>
        <v>4.8060313760349915</v>
      </c>
      <c r="W33" s="1">
        <f t="shared" si="8"/>
        <v>4.777184417580016</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3.2392629999999998</v>
      </c>
      <c r="D36" s="100">
        <f>'Input data'!D37</f>
        <v>4.4184200000000002</v>
      </c>
      <c r="E36" s="100">
        <f>'Input data'!E37</f>
        <v>7.2293640000000003</v>
      </c>
      <c r="F36" s="100">
        <f>'Input data'!F37</f>
        <v>7.2143069999999998</v>
      </c>
      <c r="G36" s="100">
        <f>'Input data'!G37</f>
        <v>5.985741</v>
      </c>
      <c r="H36" s="34">
        <f t="shared" ref="H36:W36" si="9">H109</f>
        <v>6.1006442626004187</v>
      </c>
      <c r="I36" s="34">
        <f t="shared" si="9"/>
        <v>6.1883468017334327</v>
      </c>
      <c r="J36" s="34">
        <f t="shared" si="9"/>
        <v>6.2553067442008849</v>
      </c>
      <c r="K36" s="34">
        <f t="shared" si="9"/>
        <v>6.3049549272222096</v>
      </c>
      <c r="L36" s="34">
        <f t="shared" si="9"/>
        <v>6.3425560164202812</v>
      </c>
      <c r="M36" s="34">
        <f t="shared" si="9"/>
        <v>6.3696613556191437</v>
      </c>
      <c r="N36" s="34">
        <f t="shared" si="9"/>
        <v>6.3876199729912395</v>
      </c>
      <c r="O36" s="34">
        <f t="shared" si="9"/>
        <v>6.3979038366394372</v>
      </c>
      <c r="P36" s="34">
        <f t="shared" si="9"/>
        <v>6.390278985841106</v>
      </c>
      <c r="Q36" s="34">
        <f t="shared" si="9"/>
        <v>6.3750030271510161</v>
      </c>
      <c r="R36" s="34">
        <f t="shared" si="9"/>
        <v>6.3525864496956164</v>
      </c>
      <c r="S36" s="34">
        <f t="shared" si="9"/>
        <v>6.3234206340670367</v>
      </c>
      <c r="T36" s="34">
        <f t="shared" si="9"/>
        <v>6.287884200570252</v>
      </c>
      <c r="U36" s="34">
        <f t="shared" si="9"/>
        <v>6.2463352685627429</v>
      </c>
      <c r="V36" s="34">
        <f t="shared" si="9"/>
        <v>6.199090271244744</v>
      </c>
      <c r="W36" s="34">
        <f t="shared" si="9"/>
        <v>6.146456615898666</v>
      </c>
    </row>
    <row r="37" spans="2:51" x14ac:dyDescent="0.2">
      <c r="B37" s="32" t="s">
        <v>94</v>
      </c>
      <c r="C37" s="1"/>
      <c r="D37" s="2">
        <f>'Input data'!D$39</f>
        <v>7.57</v>
      </c>
      <c r="E37" s="2">
        <f>'Input data'!E$39</f>
        <v>7.51</v>
      </c>
      <c r="F37" s="166">
        <f>'Input data'!F$39</f>
        <v>6.852957</v>
      </c>
      <c r="G37" s="166">
        <f>'Input data'!G$39</f>
        <v>7.0544219999999997</v>
      </c>
      <c r="H37" s="1">
        <f>G37+($O$37-$G$37)/($O$10-$G$10)</f>
        <v>6.9882267499999999</v>
      </c>
      <c r="I37" s="1">
        <f t="shared" ref="I37:N37" si="10">H37+($O$37-$G$37)/($O$10-$G$10)</f>
        <v>6.9220315000000001</v>
      </c>
      <c r="J37" s="1">
        <f t="shared" si="10"/>
        <v>6.8558362500000003</v>
      </c>
      <c r="K37" s="1">
        <f t="shared" si="10"/>
        <v>6.7896410000000005</v>
      </c>
      <c r="L37" s="1">
        <f t="shared" si="10"/>
        <v>6.7234457500000007</v>
      </c>
      <c r="M37" s="1">
        <f t="shared" si="10"/>
        <v>6.6572505000000008</v>
      </c>
      <c r="N37" s="1">
        <f t="shared" si="10"/>
        <v>6.591055250000001</v>
      </c>
      <c r="O37" s="252">
        <f>'Input data'!$C$52</f>
        <v>6.5248600000000003</v>
      </c>
      <c r="P37" s="1">
        <f>'Baseline NFPC'!P36</f>
        <v>6.4486170000000005</v>
      </c>
      <c r="Q37" s="1">
        <f>'Baseline NFPC'!Q36</f>
        <v>6.3723740000000006</v>
      </c>
      <c r="R37" s="1">
        <f>'Baseline NFPC'!R36</f>
        <v>6.2961309999999999</v>
      </c>
      <c r="S37" s="1">
        <f>'Baseline NFPC'!S36</f>
        <v>6.2198880000000001</v>
      </c>
      <c r="T37" s="1">
        <f>'Baseline NFPC'!T36</f>
        <v>6.1436450000000002</v>
      </c>
      <c r="U37" s="1">
        <f>'Baseline NFPC'!U36</f>
        <v>6.0674020000000004</v>
      </c>
      <c r="V37" s="1">
        <f>'Baseline NFPC'!V36</f>
        <v>5.9911590000000006</v>
      </c>
      <c r="W37" s="1">
        <f>'Baseline NFPC'!W36</f>
        <v>5.9149159999999998</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10.32</v>
      </c>
      <c r="E38" s="2">
        <f>'Input data'!E$38</f>
        <v>15.97</v>
      </c>
      <c r="F38" s="166">
        <f>'Input data'!F$38</f>
        <v>7.4377000000000004</v>
      </c>
      <c r="G38" s="166">
        <f>'Input data'!G$38</f>
        <v>6.4500719999999996</v>
      </c>
      <c r="H38" s="1">
        <f>G38+($O$38-$G$38)/($O$10-$G$10)</f>
        <v>6.4235542499999996</v>
      </c>
      <c r="I38" s="1">
        <f t="shared" ref="I38:N38" si="11">H38+($O$38-$G$38)/($O$10-$G$10)</f>
        <v>6.3970364999999996</v>
      </c>
      <c r="J38" s="1">
        <f t="shared" si="11"/>
        <v>6.3705187499999996</v>
      </c>
      <c r="K38" s="1">
        <f t="shared" si="11"/>
        <v>6.3440009999999996</v>
      </c>
      <c r="L38" s="1">
        <f t="shared" si="11"/>
        <v>6.3174832499999996</v>
      </c>
      <c r="M38" s="1">
        <f t="shared" si="11"/>
        <v>6.2909654999999995</v>
      </c>
      <c r="N38" s="1">
        <f t="shared" si="11"/>
        <v>6.2644477499999995</v>
      </c>
      <c r="O38" s="252">
        <f>'Input data'!$C$53</f>
        <v>6.2379300000000004</v>
      </c>
      <c r="P38" s="1">
        <f>'Baseline NFPC'!P37</f>
        <v>6.0510335000000008</v>
      </c>
      <c r="Q38" s="1">
        <f>'Baseline NFPC'!Q37</f>
        <v>5.8641370000000004</v>
      </c>
      <c r="R38" s="1">
        <f>'Baseline NFPC'!R37</f>
        <v>5.6772404999999999</v>
      </c>
      <c r="S38" s="1">
        <f>'Baseline NFPC'!S37</f>
        <v>5.4903440000000003</v>
      </c>
      <c r="T38" s="1">
        <f>'Baseline NFPC'!T37</f>
        <v>5.3034475000000008</v>
      </c>
      <c r="U38" s="1">
        <f>'Baseline NFPC'!U37</f>
        <v>5.1165510000000003</v>
      </c>
      <c r="V38" s="1">
        <f>'Baseline NFPC'!V37</f>
        <v>4.9296544999999998</v>
      </c>
      <c r="W38" s="1">
        <f>'Baseline NFPC'!W37</f>
        <v>4.7427580000000003</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7.9358789999999998E-2</v>
      </c>
      <c r="D39" s="34">
        <f>'Baseline NFPC'!D38</f>
        <v>6.020197E-2</v>
      </c>
      <c r="E39" s="34">
        <f>'Baseline NFPC'!E38</f>
        <v>5.0460409999999997E-2</v>
      </c>
      <c r="F39" s="34">
        <f>'Baseline NFPC'!F38</f>
        <v>6.7433850000000004E-2</v>
      </c>
      <c r="G39" s="34">
        <f>'Baseline NFPC'!G38</f>
        <v>6.8616281111111108E-2</v>
      </c>
      <c r="H39" s="34">
        <f>'Baseline NFPC'!H38</f>
        <v>6.9798712222222226E-2</v>
      </c>
      <c r="I39" s="34">
        <f>'Baseline NFPC'!I38</f>
        <v>7.098114333333333E-2</v>
      </c>
      <c r="J39" s="34">
        <f>'Baseline NFPC'!J38</f>
        <v>7.2163574444444448E-2</v>
      </c>
      <c r="K39" s="34">
        <f>'Baseline NFPC'!K38</f>
        <v>7.3346005555555552E-2</v>
      </c>
      <c r="L39" s="34">
        <f>'Baseline NFPC'!L38</f>
        <v>7.452843666666667E-2</v>
      </c>
      <c r="M39" s="34">
        <f>'Baseline NFPC'!M38</f>
        <v>7.5710867777777774E-2</v>
      </c>
      <c r="N39" s="34">
        <f>'Baseline NFPC'!N38</f>
        <v>7.6893298888888878E-2</v>
      </c>
      <c r="O39" s="34">
        <f>'Baseline NFPC'!O38</f>
        <v>7.8075729999999996E-2</v>
      </c>
      <c r="P39" s="34">
        <f>'Baseline NFPC'!P38</f>
        <v>7.8075729999999996E-2</v>
      </c>
      <c r="Q39" s="34">
        <f>'Baseline NFPC'!Q38</f>
        <v>7.8075729999999996E-2</v>
      </c>
      <c r="R39" s="34">
        <f>'Baseline NFPC'!R38</f>
        <v>7.8075729999999996E-2</v>
      </c>
      <c r="S39" s="34">
        <f>'Baseline NFPC'!S38</f>
        <v>7.8075729999999996E-2</v>
      </c>
      <c r="T39" s="34">
        <f>'Baseline NFPC'!T38</f>
        <v>7.8075729999999996E-2</v>
      </c>
      <c r="U39" s="34">
        <f>'Baseline NFPC'!U38</f>
        <v>7.8075729999999996E-2</v>
      </c>
      <c r="V39" s="34">
        <f>'Baseline NFPC'!V38</f>
        <v>7.8075729999999996E-2</v>
      </c>
      <c r="W39" s="34">
        <f>'Baseline NFPC'!W38</f>
        <v>7.8075729999999996E-2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6.4392469999999999</v>
      </c>
      <c r="D42" s="2">
        <f>'Input data'!D42</f>
        <v>14.231339999999999</v>
      </c>
      <c r="E42" s="2">
        <f>'Input data'!E42</f>
        <v>14.74901</v>
      </c>
      <c r="F42" s="2">
        <f>'Input data'!F42</f>
        <v>5.300141</v>
      </c>
      <c r="G42" s="2">
        <f>'Input data'!G42</f>
        <v>3.7999740000000002</v>
      </c>
      <c r="H42" s="1">
        <f>'Baseline NFPC'!H41</f>
        <v>3.72622725</v>
      </c>
      <c r="I42" s="1">
        <f>'Baseline NFPC'!I41</f>
        <v>3.6524805000000002</v>
      </c>
      <c r="J42" s="1">
        <f>'Baseline NFPC'!J41</f>
        <v>3.57873375</v>
      </c>
      <c r="K42" s="1">
        <f>'Baseline NFPC'!K41</f>
        <v>3.5049869999999999</v>
      </c>
      <c r="L42" s="1">
        <f>'Baseline NFPC'!L41</f>
        <v>3.4312402500000001</v>
      </c>
      <c r="M42" s="1">
        <f>'Baseline NFPC'!M41</f>
        <v>3.3574934999999999</v>
      </c>
      <c r="N42" s="1">
        <f>'Baseline NFPC'!N41</f>
        <v>3.2837467499999997</v>
      </c>
      <c r="O42" s="252">
        <f>'Baseline NFPC'!O41</f>
        <v>3.21</v>
      </c>
      <c r="P42" s="1">
        <f>'Baseline NFPC'!P41</f>
        <v>3.1995</v>
      </c>
      <c r="Q42" s="1">
        <f>'Baseline NFPC'!Q41</f>
        <v>3.1890000000000001</v>
      </c>
      <c r="R42" s="1">
        <f>'Baseline NFPC'!R41</f>
        <v>3.1785000000000001</v>
      </c>
      <c r="S42" s="1">
        <f>'Baseline NFPC'!S41</f>
        <v>3.1680000000000001</v>
      </c>
      <c r="T42" s="1">
        <f>'Baseline NFPC'!T41</f>
        <v>3.1574999999999998</v>
      </c>
      <c r="U42" s="1">
        <f>'Baseline NFPC'!U41</f>
        <v>3.1469999999999998</v>
      </c>
      <c r="V42" s="1">
        <f>'Baseline NFPC'!V41</f>
        <v>3.1364999999999998</v>
      </c>
      <c r="W42" s="1">
        <f>'Baseline NFPC'!W41</f>
        <v>3.1259999999999999</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1.002497</v>
      </c>
      <c r="D43" s="1">
        <f>'Baseline NFPC'!D42</f>
        <v>1.052827</v>
      </c>
      <c r="E43" s="1">
        <f>'Baseline NFPC'!E42</f>
        <v>0.98856089999999996</v>
      </c>
      <c r="F43" s="1">
        <f>'Baseline NFPC'!F42</f>
        <v>1.0111460000000001</v>
      </c>
      <c r="G43" s="1">
        <f>'Baseline NFPC'!G42</f>
        <v>1.001916</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0.45300000000000001</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-0.61073938809514206</v>
      </c>
      <c r="I51" s="34">
        <f t="shared" si="12"/>
        <v>-0.72691281665002716</v>
      </c>
      <c r="J51" s="34">
        <f t="shared" si="12"/>
        <v>-0.80422993533617593</v>
      </c>
      <c r="K51" s="34">
        <f t="shared" si="12"/>
        <v>-0.85569326368041632</v>
      </c>
      <c r="L51" s="34">
        <f t="shared" si="12"/>
        <v>-0.42784663184020816</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4.5834080000000004</v>
      </c>
      <c r="E52" s="34">
        <f>'Input data'!E30-$C$47*((E12-D12)-('Input data'!E13-'Input data'!D13))</f>
        <v>-0.90768590000000005</v>
      </c>
      <c r="F52" s="34">
        <f>'Input data'!F30-$C$47*((F12-E12)-('Input data'!F13-'Input data'!E13))</f>
        <v>2.4166650000000001</v>
      </c>
      <c r="G52" s="34">
        <f>'Input data'!G30-$C$47*((G12-F12))</f>
        <v>2.7841179999999999</v>
      </c>
      <c r="H52" s="34">
        <f>'Input data'!H30-$C$47*((H12-G12))</f>
        <v>1.9144060000000001</v>
      </c>
      <c r="I52" s="34">
        <f>'Input data'!I30-$C$47*((I12-H12))</f>
        <v>1.8261859999999999</v>
      </c>
      <c r="J52" s="34">
        <f>'Input data'!J30-$C$47*((J12-I12))</f>
        <v>1.6322459999999999</v>
      </c>
      <c r="K52" s="34">
        <f>'Input data'!K30-$C$47*((K12-J12))</f>
        <v>2.0546989999999998</v>
      </c>
      <c r="L52" s="34">
        <f>'Input data'!L30-$C$47*((L12-K12))</f>
        <v>2.059733</v>
      </c>
      <c r="M52" s="34">
        <f>'Input data'!M30-$C$47*((M12-L12))</f>
        <v>2.023784</v>
      </c>
      <c r="N52" s="34">
        <f>'Input data'!N30-$C$47*((N12-M12))</f>
        <v>1.897527</v>
      </c>
      <c r="O52" s="34">
        <f>'Input data'!O30-$C$47*((O12-N12))</f>
        <v>1.8826879999999999</v>
      </c>
      <c r="P52" s="34">
        <f>'Input data'!P30-$C$47*((P12-O12))</f>
        <v>1.8447150000000001</v>
      </c>
      <c r="Q52" s="34">
        <f>'Input data'!Q30-$C$47*((Q12-P12))</f>
        <v>1.8067390000000001</v>
      </c>
      <c r="R52" s="34">
        <f>'Input data'!R30-$C$47*((R12-Q12))</f>
        <v>1.76877</v>
      </c>
      <c r="S52" s="34">
        <f>'Input data'!S30-$C$47*((S12-R12))</f>
        <v>1.761083</v>
      </c>
      <c r="T52" s="34">
        <f>'Input data'!T30-$C$47*((T12-S12))</f>
        <v>1.7076499999999999</v>
      </c>
      <c r="U52" s="34">
        <f>'Input data'!U30-$C$47*((U12-T12))</f>
        <v>1.652968</v>
      </c>
      <c r="V52" s="34">
        <f>'Input data'!V30-$C$47*((V12-U12))</f>
        <v>1.6187590000000001</v>
      </c>
      <c r="W52" s="34">
        <f>'Input data'!W30-$C$47*((W12-V12))</f>
        <v>1.6011329999999999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76.688640000000007</v>
      </c>
      <c r="D57" s="45">
        <f>+C57+D58</f>
        <v>74.056958506530165</v>
      </c>
      <c r="E57" s="45">
        <f>+D57+E58</f>
        <v>73.520357526734585</v>
      </c>
      <c r="F57" s="45">
        <f>+E57+F58</f>
        <v>74.287964673525892</v>
      </c>
      <c r="G57" s="45">
        <f>+F57+G58</f>
        <v>73.854222000134087</v>
      </c>
      <c r="H57" s="45">
        <f t="shared" ref="H57:S57" si="13">+G57+H58</f>
        <v>73.145093744834028</v>
      </c>
      <c r="I57" s="45">
        <f t="shared" si="13"/>
        <v>71.995695653916613</v>
      </c>
      <c r="J57" s="45">
        <f t="shared" si="13"/>
        <v>70.351529341469288</v>
      </c>
      <c r="K57" s="45">
        <f t="shared" si="13"/>
        <v>68.220207862620029</v>
      </c>
      <c r="L57" s="45">
        <f t="shared" si="13"/>
        <v>66.005551885247954</v>
      </c>
      <c r="M57" s="45">
        <f t="shared" si="13"/>
        <v>63.758873845840455</v>
      </c>
      <c r="N57" s="45">
        <f t="shared" si="13"/>
        <v>62.014797976032192</v>
      </c>
      <c r="O57" s="45">
        <f t="shared" si="13"/>
        <v>60.440781226385973</v>
      </c>
      <c r="P57" s="45">
        <f t="shared" si="13"/>
        <v>59.026867815732409</v>
      </c>
      <c r="Q57" s="45">
        <f t="shared" si="13"/>
        <v>57.802291982818204</v>
      </c>
      <c r="R57" s="45">
        <f t="shared" si="13"/>
        <v>56.790330100508918</v>
      </c>
      <c r="S57" s="45">
        <f t="shared" si="13"/>
        <v>55.977034476616197</v>
      </c>
      <c r="T57" s="45">
        <f>+S57+T58</f>
        <v>55.392400142926711</v>
      </c>
      <c r="U57" s="45">
        <f>+T57+U58</f>
        <v>55.048814322300601</v>
      </c>
      <c r="V57" s="45">
        <f t="shared" ref="V57" si="14">+U57+V58</f>
        <v>54.948375777158063</v>
      </c>
      <c r="W57" s="45">
        <f t="shared" ref="W57" si="15">+V57+W58</f>
        <v>55.105753385165151</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-2.631681493469844</v>
      </c>
      <c r="E58" s="47">
        <f>-E59+E67+E72</f>
        <v>-0.53660097979557353</v>
      </c>
      <c r="F58" s="47">
        <f>-F59+F67+F72</f>
        <v>0.76760714679130904</v>
      </c>
      <c r="G58" s="47">
        <f>-G59+G67+G72</f>
        <v>-0.43374267339180306</v>
      </c>
      <c r="H58" s="47">
        <f t="shared" ref="H58:S58" si="16">-H59+H67+H72</f>
        <v>-0.70912825530005552</v>
      </c>
      <c r="I58" s="47">
        <f t="shared" si="16"/>
        <v>-1.1493980909174168</v>
      </c>
      <c r="J58" s="47">
        <f t="shared" si="16"/>
        <v>-1.6441663124473207</v>
      </c>
      <c r="K58" s="47">
        <f t="shared" si="16"/>
        <v>-2.1313214788492578</v>
      </c>
      <c r="L58" s="47">
        <f t="shared" si="16"/>
        <v>-2.2146559773720713</v>
      </c>
      <c r="M58" s="47">
        <f t="shared" si="16"/>
        <v>-2.2466780394074952</v>
      </c>
      <c r="N58" s="47">
        <f t="shared" si="16"/>
        <v>-1.7440758698082655</v>
      </c>
      <c r="O58" s="47">
        <f t="shared" si="16"/>
        <v>-1.5740167496462159</v>
      </c>
      <c r="P58" s="47">
        <f t="shared" si="16"/>
        <v>-1.4139134106535622</v>
      </c>
      <c r="Q58" s="47">
        <f t="shared" si="16"/>
        <v>-1.2245758329142042</v>
      </c>
      <c r="R58" s="47">
        <f t="shared" si="16"/>
        <v>-1.0119618823092851</v>
      </c>
      <c r="S58" s="47">
        <f t="shared" si="16"/>
        <v>-0.81329562389272358</v>
      </c>
      <c r="T58" s="47">
        <f>-T59+T67+T72</f>
        <v>-0.58463433368948547</v>
      </c>
      <c r="U58" s="47">
        <f t="shared" ref="U58:W58" si="17">-U59+U67+U72</f>
        <v>-0.34358582062611021</v>
      </c>
      <c r="V58" s="47">
        <f t="shared" si="17"/>
        <v>-0.10043854514253958</v>
      </c>
      <c r="W58" s="47">
        <f t="shared" si="17"/>
        <v>0.15737760800708855</v>
      </c>
    </row>
    <row r="59" spans="2:48" outlineLevel="1" x14ac:dyDescent="0.2">
      <c r="B59" s="84" t="s">
        <v>106</v>
      </c>
      <c r="C59" s="48"/>
      <c r="D59" s="48">
        <f>D60+D61-D62-D63-D64-D65-D66</f>
        <v>-3.3918265065301565</v>
      </c>
      <c r="E59" s="48">
        <f t="shared" ref="E59:R59" si="18">E60+E61-E62-E63-E64-E65-E66</f>
        <v>-1.9835450202044265</v>
      </c>
      <c r="F59" s="48">
        <f t="shared" si="18"/>
        <v>-0.51716924679130893</v>
      </c>
      <c r="G59" s="48">
        <f t="shared" si="18"/>
        <v>0.27988828578935099</v>
      </c>
      <c r="H59" s="48">
        <f t="shared" si="18"/>
        <v>0.86094844108630664</v>
      </c>
      <c r="I59" s="48">
        <f t="shared" si="18"/>
        <v>1.4684114589390687</v>
      </c>
      <c r="J59" s="48">
        <f t="shared" si="18"/>
        <v>2.0934421273291575</v>
      </c>
      <c r="K59" s="48">
        <f t="shared" si="18"/>
        <v>2.2741816515527722</v>
      </c>
      <c r="L59" s="48">
        <f t="shared" si="18"/>
        <v>2.4240221757763889</v>
      </c>
      <c r="M59" s="48">
        <f t="shared" si="18"/>
        <v>2.5379517000000007</v>
      </c>
      <c r="N59" s="48">
        <f t="shared" si="18"/>
        <v>2.4371581445642856</v>
      </c>
      <c r="O59" s="48">
        <f t="shared" si="18"/>
        <v>2.3081354784514114</v>
      </c>
      <c r="P59" s="48">
        <f t="shared" si="18"/>
        <v>2.1540413680410784</v>
      </c>
      <c r="Q59" s="48">
        <f t="shared" si="18"/>
        <v>1.9671764781196082</v>
      </c>
      <c r="R59" s="48">
        <f t="shared" si="18"/>
        <v>1.7546119232463511</v>
      </c>
      <c r="S59" s="48">
        <f>S60+S61-S62-S63-S64-S65-S66</f>
        <v>1.5373665877652547</v>
      </c>
      <c r="T59" s="48">
        <f>T60+T61-T62-T63-T64-T65-T66</f>
        <v>1.3149325877652556</v>
      </c>
      <c r="U59" s="48">
        <f>U60+U61-U62-U63-U64-U65-U66</f>
        <v>1.0802080333990944</v>
      </c>
      <c r="V59" s="48">
        <f t="shared" ref="V59:W59" si="19">V60+V61-V62-V63-V64-V65-V66</f>
        <v>0.83213537075066957</v>
      </c>
      <c r="W59" s="48">
        <f t="shared" si="19"/>
        <v>0.56071081661186328</v>
      </c>
    </row>
    <row r="60" spans="2:48" outlineLevel="1" x14ac:dyDescent="0.2">
      <c r="B60" s="79" t="s">
        <v>107</v>
      </c>
      <c r="C60" s="1"/>
      <c r="D60" s="1">
        <f>D12</f>
        <v>-4.121645</v>
      </c>
      <c r="E60" s="1">
        <f>E12</f>
        <v>-1.336916</v>
      </c>
      <c r="F60" s="1">
        <f>F12</f>
        <v>3.4885699999999999E-2</v>
      </c>
      <c r="G60" s="1">
        <f t="shared" ref="G60:W60" si="20">IF(G12="",F60,G12)</f>
        <v>0.69488570000000005</v>
      </c>
      <c r="H60" s="1">
        <f t="shared" si="20"/>
        <v>1.3548857000000001</v>
      </c>
      <c r="I60" s="1">
        <f t="shared" si="20"/>
        <v>2.0148857000000002</v>
      </c>
      <c r="J60" s="1">
        <f t="shared" si="20"/>
        <v>2.6748857000000004</v>
      </c>
      <c r="K60" s="1">
        <f t="shared" si="20"/>
        <v>2.6748857000000004</v>
      </c>
      <c r="L60" s="1">
        <f t="shared" si="20"/>
        <v>2.6748857000000004</v>
      </c>
      <c r="M60" s="1">
        <f t="shared" si="20"/>
        <v>2.6748857000000004</v>
      </c>
      <c r="N60" s="1">
        <f t="shared" si="20"/>
        <v>2.6748857000000004</v>
      </c>
      <c r="O60" s="1">
        <f t="shared" si="20"/>
        <v>2.6748857000000004</v>
      </c>
      <c r="P60" s="1">
        <f t="shared" si="20"/>
        <v>2.6748857000000004</v>
      </c>
      <c r="Q60" s="1">
        <f t="shared" si="20"/>
        <v>2.6748857000000004</v>
      </c>
      <c r="R60" s="1">
        <f t="shared" si="20"/>
        <v>2.6748857000000004</v>
      </c>
      <c r="S60" s="1">
        <f t="shared" si="20"/>
        <v>2.6748857000000004</v>
      </c>
      <c r="T60" s="1">
        <f t="shared" si="20"/>
        <v>2.6748857000000004</v>
      </c>
      <c r="U60" s="1">
        <f t="shared" si="20"/>
        <v>2.6748857000000004</v>
      </c>
      <c r="V60" s="1">
        <f t="shared" si="20"/>
        <v>2.6748857000000004</v>
      </c>
      <c r="W60" s="1">
        <f t="shared" si="20"/>
        <v>2.6748857000000004</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-0.7298184934698434</v>
      </c>
      <c r="E62" s="1">
        <f t="shared" si="21"/>
        <v>0.64662902020442647</v>
      </c>
      <c r="F62" s="1">
        <f t="shared" si="21"/>
        <v>0.55205494679130895</v>
      </c>
      <c r="G62" s="1">
        <f t="shared" si="21"/>
        <v>0.41499741421064906</v>
      </c>
      <c r="H62" s="1">
        <f t="shared" si="21"/>
        <v>0.49393725891369344</v>
      </c>
      <c r="I62" s="1">
        <f t="shared" si="21"/>
        <v>0.54647424106093156</v>
      </c>
      <c r="J62" s="1">
        <f t="shared" si="21"/>
        <v>0.5814435726708429</v>
      </c>
      <c r="K62" s="1">
        <f t="shared" si="21"/>
        <v>0.38762904844722695</v>
      </c>
      <c r="L62" s="1">
        <f t="shared" si="21"/>
        <v>0.19381452422361095</v>
      </c>
      <c r="M62" s="1">
        <f>-$C$48*M30</f>
        <v>0</v>
      </c>
      <c r="N62" s="1">
        <f t="shared" si="21"/>
        <v>-4.4456428478500952E-7</v>
      </c>
      <c r="O62" s="1">
        <f t="shared" si="21"/>
        <v>-1.7784514113383666E-6</v>
      </c>
      <c r="P62" s="1">
        <f t="shared" si="21"/>
        <v>-2.6680410781354527E-6</v>
      </c>
      <c r="Q62" s="1">
        <f t="shared" si="21"/>
        <v>-1.7781196076205319E-6</v>
      </c>
      <c r="R62" s="1">
        <f t="shared" si="21"/>
        <v>-2.2232463503524258E-6</v>
      </c>
      <c r="S62" s="1">
        <f t="shared" si="21"/>
        <v>-8.8776525430933617E-7</v>
      </c>
      <c r="T62" s="1">
        <f t="shared" si="21"/>
        <v>-8.8776525430933617E-7</v>
      </c>
      <c r="U62" s="1">
        <f>-$C$48*U30</f>
        <v>-1.3333990923403151E-6</v>
      </c>
      <c r="V62" s="1">
        <f t="shared" si="21"/>
        <v>-2.6707506693535168E-6</v>
      </c>
      <c r="W62" s="1">
        <f t="shared" si="21"/>
        <v>-3.1166118623859874E-6</v>
      </c>
    </row>
    <row r="63" spans="2:48" outlineLevel="1" x14ac:dyDescent="0.2">
      <c r="B63" s="79" t="s">
        <v>110</v>
      </c>
      <c r="C63" s="1"/>
      <c r="D63" s="1">
        <f t="shared" ref="D63:W63" si="22">-D14</f>
        <v>0</v>
      </c>
      <c r="E63" s="1">
        <f t="shared" si="22"/>
        <v>0</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1.2320000000000775E-2</v>
      </c>
      <c r="L64" s="1">
        <f>IF(L$56&lt;=$C$6,0,HLOOKUP(L$56,'Input data'!$C$9:$BB$26,12,FALSE)-HLOOKUP($C$6,'Input data'!$C$9:$BB$26,12,FALSE))</f>
        <v>5.5540000000000589E-2</v>
      </c>
      <c r="M64" s="1">
        <f>IF(M$56&lt;=$C$6,0,HLOOKUP(M$56,'Input data'!$C$9:$BB$26,12,FALSE)-HLOOKUP($C$6,'Input data'!$C$9:$BB$26,12,FALSE))</f>
        <v>0.13466999999999985</v>
      </c>
      <c r="N64" s="1">
        <f>IF(N$56&lt;=$C$6,0,HLOOKUP(N$56,'Input data'!$C$9:$BB$26,12,FALSE)-HLOOKUP($C$6,'Input data'!$C$9:$BB$26,12,FALSE))</f>
        <v>0.23470999999999975</v>
      </c>
      <c r="O64" s="1">
        <f>IF(O$56&lt;=$C$6,0,HLOOKUP(O$56,'Input data'!$C$9:$BB$26,12,FALSE)-HLOOKUP($C$6,'Input data'!$C$9:$BB$26,12,FALSE))</f>
        <v>0.3629800000000003</v>
      </c>
      <c r="P64" s="1">
        <f>IF(P$56&lt;=$C$6,0,HLOOKUP(P$56,'Input data'!$C$9:$BB$26,12,FALSE)-HLOOKUP($C$6,'Input data'!$C$9:$BB$26,12,FALSE))</f>
        <v>0.51632000000000033</v>
      </c>
      <c r="Q64" s="1">
        <f>IF(Q$56&lt;=$C$6,0,HLOOKUP(Q$56,'Input data'!$C$9:$BB$26,12,FALSE)-HLOOKUP($C$6,'Input data'!$C$9:$BB$26,12,FALSE))</f>
        <v>0.70242999999999967</v>
      </c>
      <c r="R64" s="1">
        <f>IF(R$56&lt;=$C$6,0,HLOOKUP(R$56,'Input data'!$C$9:$BB$26,12,FALSE)-HLOOKUP($C$6,'Input data'!$C$9:$BB$26,12,FALSE))</f>
        <v>0.9142399999999995</v>
      </c>
      <c r="S64" s="1">
        <f>IF(S$56&lt;=$C$6,0,HLOOKUP(S$56,'Input data'!$C$9:$BB$26,12,FALSE)-HLOOKUP($C$6,'Input data'!$C$9:$BB$26,12,FALSE))</f>
        <v>1.1307299999999998</v>
      </c>
      <c r="T64" s="1">
        <f>IF(T$56&lt;=$C$6,0,HLOOKUP(T$56,'Input data'!$C$9:$BB$26,12,FALSE)-HLOOKUP($C$6,'Input data'!$C$9:$BB$26,12,FALSE))</f>
        <v>1.352409999999999</v>
      </c>
      <c r="U64" s="1">
        <f>IF(U$56&lt;=$C$6,0,HLOOKUP(U$56,'Input data'!$C$9:$BB$26,12,FALSE)-HLOOKUP($C$6,'Input data'!$C$9:$BB$26,12,FALSE))</f>
        <v>1.5863799999999983</v>
      </c>
      <c r="V64" s="1">
        <f>IF(V$56&lt;=$C$6,0,HLOOKUP(V$56,'Input data'!$C$9:$BB$26,12,FALSE)-HLOOKUP($C$6,'Input data'!$C$9:$BB$26,12,FALSE))</f>
        <v>1.8337000000000003</v>
      </c>
      <c r="W64" s="1">
        <f>IF(W$56&lt;=$C$6,0,HLOOKUP(W$56,'Input data'!$C$9:$BB$26,12,FALSE)-HLOOKUP($C$6,'Input data'!$C$9:$BB$26,12,FALSE))</f>
        <v>2.1043699999999994</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7.5500000000006118E-4</v>
      </c>
      <c r="L65" s="1">
        <f>IF(L$56&lt;=$C$6,0,-HLOOKUP(L$56,'Input data'!$C$9:$BB$26,18,FALSE)+HLOOKUP($C$6,'Input data'!$C$9:$BB$26,18,FALSE))</f>
        <v>1.5089999999999826E-3</v>
      </c>
      <c r="M65" s="1">
        <f>IF(M$56&lt;=$C$6,0,-HLOOKUP(M$56,'Input data'!$C$9:$BB$26,18,FALSE)+HLOOKUP($C$6,'Input data'!$C$9:$BB$26,18,FALSE))</f>
        <v>2.2640000000000438E-3</v>
      </c>
      <c r="N65" s="1">
        <f>IF(N$56&lt;=$C$6,0,-HLOOKUP(N$56,'Input data'!$C$9:$BB$26,18,FALSE)+HLOOKUP($C$6,'Input data'!$C$9:$BB$26,18,FALSE))</f>
        <v>3.0179999999999652E-3</v>
      </c>
      <c r="O65" s="1">
        <f>IF(O$56&lt;=$C$6,0,-HLOOKUP(O$56,'Input data'!$C$9:$BB$26,18,FALSE)+HLOOKUP($C$6,'Input data'!$C$9:$BB$26,18,FALSE))</f>
        <v>3.7720000000001086E-3</v>
      </c>
      <c r="P65" s="1">
        <f>IF(P$56&lt;=$C$6,0,-HLOOKUP(P$56,'Input data'!$C$9:$BB$26,18,FALSE)+HLOOKUP($C$6,'Input data'!$C$9:$BB$26,18,FALSE))</f>
        <v>4.5269999999999477E-3</v>
      </c>
      <c r="Q65" s="1">
        <f>IF(Q$56&lt;=$C$6,0,-HLOOKUP(Q$56,'Input data'!$C$9:$BB$26,18,FALSE)+HLOOKUP($C$6,'Input data'!$C$9:$BB$26,18,FALSE))</f>
        <v>5.2810000000000912E-3</v>
      </c>
      <c r="R65" s="1">
        <f>IF(R$56&lt;=$C$6,0,-HLOOKUP(R$56,'Input data'!$C$9:$BB$26,18,FALSE)+HLOOKUP($C$6,'Input data'!$C$9:$BB$26,18,FALSE))</f>
        <v>6.0359999999999303E-3</v>
      </c>
      <c r="S65" s="1">
        <f>IF(S$56&lt;=$C$6,0,-HLOOKUP(S$56,'Input data'!$C$9:$BB$26,18,FALSE)+HLOOKUP($C$6,'Input data'!$C$9:$BB$26,18,FALSE))</f>
        <v>6.7900000000000738E-3</v>
      </c>
      <c r="T65" s="1">
        <f>IF(T$56&lt;=$C$6,0,-HLOOKUP(T$56,'Input data'!$C$9:$BB$26,18,FALSE)+HLOOKUP($C$6,'Input data'!$C$9:$BB$26,18,FALSE))</f>
        <v>7.5439999999999952E-3</v>
      </c>
      <c r="U65" s="264">
        <f>IF(U$56&lt;=$C$6,0,-HLOOKUP(U$56,'Input data'!$C$9:$BB$26,18,FALSE)+HLOOKUP($C$6,'Input data'!$C$9:$BB$26,18,FALSE))</f>
        <v>8.2990000000000563E-3</v>
      </c>
      <c r="V65" s="264">
        <f>IF(V$56&lt;=$C$6,0,-HLOOKUP(V$56,'Input data'!$C$9:$BB$26,18,FALSE)+HLOOKUP($C$6,'Input data'!$C$9:$BB$26,18,FALSE))</f>
        <v>9.0529999999999777E-3</v>
      </c>
      <c r="W65" s="264">
        <f>IF(W$56&lt;=$C$6,0,-HLOOKUP(W$56,'Input data'!$C$9:$BB$26,18,FALSE)+HLOOKUP($C$6,'Input data'!$C$9:$BB$26,18,FALSE))</f>
        <v>9.8080000000000389E-3</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-9.5102200000000003</v>
      </c>
      <c r="E67" s="48">
        <f t="shared" si="23"/>
        <v>-4.272996</v>
      </c>
      <c r="F67" s="48">
        <f t="shared" si="23"/>
        <v>-0.37506469999999997</v>
      </c>
      <c r="G67" s="48">
        <f t="shared" si="23"/>
        <v>-0.48234998760245207</v>
      </c>
      <c r="H67" s="48">
        <f t="shared" si="23"/>
        <v>0.15182018578625112</v>
      </c>
      <c r="I67" s="48">
        <f t="shared" si="23"/>
        <v>0.31901336802165181</v>
      </c>
      <c r="J67" s="48">
        <f t="shared" si="23"/>
        <v>0.44927581488183677</v>
      </c>
      <c r="K67" s="48">
        <f t="shared" si="23"/>
        <v>0.14286017270351437</v>
      </c>
      <c r="L67" s="48">
        <f t="shared" si="23"/>
        <v>0.20936619840431758</v>
      </c>
      <c r="M67" s="48">
        <f t="shared" si="23"/>
        <v>0.29127366059250548</v>
      </c>
      <c r="N67" s="48">
        <f t="shared" si="23"/>
        <v>0.69308227475602013</v>
      </c>
      <c r="O67" s="48">
        <f t="shared" si="23"/>
        <v>0.73411872880519558</v>
      </c>
      <c r="P67" s="48">
        <f t="shared" ref="P67:T67" si="24">SUM(P68:P71)</f>
        <v>0.74012795738751613</v>
      </c>
      <c r="Q67" s="48">
        <f t="shared" si="24"/>
        <v>0.74260064520540392</v>
      </c>
      <c r="R67" s="48">
        <f t="shared" si="24"/>
        <v>0.74265004093706599</v>
      </c>
      <c r="S67" s="48">
        <f t="shared" si="24"/>
        <v>0.72407096387253111</v>
      </c>
      <c r="T67" s="48">
        <f t="shared" si="24"/>
        <v>0.73029825407577009</v>
      </c>
      <c r="U67" s="48">
        <f t="shared" ref="U67:W67" si="25">SUM(U68:U71)</f>
        <v>0.73662221277298423</v>
      </c>
      <c r="V67" s="48">
        <f t="shared" si="25"/>
        <v>0.73169682560812999</v>
      </c>
      <c r="W67" s="48">
        <f t="shared" si="25"/>
        <v>0.71808842461895184</v>
      </c>
    </row>
    <row r="68" spans="2:23" outlineLevel="1" x14ac:dyDescent="0.2">
      <c r="B68" s="79" t="s">
        <v>115</v>
      </c>
      <c r="C68" s="34"/>
      <c r="D68" s="34">
        <f t="shared" ref="D68:E68" si="26">C57*D36/100*(1/(1+D33/100))</f>
        <v>2.836285671073747</v>
      </c>
      <c r="E68" s="34">
        <f t="shared" si="26"/>
        <v>4.7084400584753539</v>
      </c>
      <c r="F68" s="34">
        <f>E57*F36/100*(1/(1+F33/100))</f>
        <v>4.9181599323084875</v>
      </c>
      <c r="G68" s="34">
        <f>F57*G36/100*(1/(1+G33/100))</f>
        <v>4.1678600033081201</v>
      </c>
      <c r="H68" s="34">
        <f t="shared" ref="H68:W68" si="27">G57*H36/100*(1/(1+H33/100))</f>
        <v>4.2552478337630983</v>
      </c>
      <c r="I68" s="34">
        <f t="shared" si="27"/>
        <v>4.2812736612509488</v>
      </c>
      <c r="J68" s="34">
        <f>I57*J36/100*(1/(1+J33/100))</f>
        <v>4.2648742213239919</v>
      </c>
      <c r="K68" s="34">
        <f t="shared" si="27"/>
        <v>4.1810275806352726</v>
      </c>
      <c r="L68" s="34">
        <f>K57*L36/100*(1/(1+L33/100))</f>
        <v>4.0813238172948445</v>
      </c>
      <c r="M68" s="34">
        <f t="shared" si="27"/>
        <v>3.970007258627565</v>
      </c>
      <c r="N68" s="34">
        <f t="shared" si="27"/>
        <v>3.8697604318885448</v>
      </c>
      <c r="O68" s="34">
        <f t="shared" si="27"/>
        <v>3.7732090619683745</v>
      </c>
      <c r="P68" s="34">
        <f t="shared" si="27"/>
        <v>3.6748007620484948</v>
      </c>
      <c r="Q68" s="34">
        <f t="shared" si="27"/>
        <v>3.5819556430229387</v>
      </c>
      <c r="R68" s="34">
        <f t="shared" si="27"/>
        <v>3.4969700109196316</v>
      </c>
      <c r="S68" s="34">
        <f t="shared" si="27"/>
        <v>3.420579852281274</v>
      </c>
      <c r="T68" s="34">
        <f t="shared" si="27"/>
        <v>3.3547487017517028</v>
      </c>
      <c r="U68" s="34">
        <f t="shared" si="27"/>
        <v>3.2998850364497501</v>
      </c>
      <c r="V68" s="34">
        <f t="shared" si="27"/>
        <v>3.2560394170880032</v>
      </c>
      <c r="W68" s="34">
        <f t="shared" si="27"/>
        <v>3.2233907573081524</v>
      </c>
    </row>
    <row r="69" spans="2:23" outlineLevel="1" x14ac:dyDescent="0.2">
      <c r="B69" s="79" t="s">
        <v>116</v>
      </c>
      <c r="C69" s="34"/>
      <c r="D69" s="34">
        <f t="shared" ref="D69:W69" si="28">-C57*(D24/100)*(1/(1+D33/100))</f>
        <v>-2.9421952723110931</v>
      </c>
      <c r="E69" s="34">
        <f t="shared" si="28"/>
        <v>0.5911702124935545</v>
      </c>
      <c r="F69" s="34">
        <f t="shared" si="28"/>
        <v>-1.6474964224300812</v>
      </c>
      <c r="G69" s="34">
        <f t="shared" si="28"/>
        <v>-1.9385760353964872</v>
      </c>
      <c r="H69" s="34">
        <f t="shared" si="28"/>
        <v>-1.4503125984805385</v>
      </c>
      <c r="I69" s="34">
        <f t="shared" si="28"/>
        <v>-1.3847915507067456</v>
      </c>
      <c r="J69" s="34">
        <f t="shared" si="28"/>
        <v>-1.3280856075960334</v>
      </c>
      <c r="K69" s="34">
        <f t="shared" si="28"/>
        <v>-1.655855183961638</v>
      </c>
      <c r="L69" s="34">
        <f t="shared" si="28"/>
        <v>-1.6088123398065479</v>
      </c>
      <c r="M69" s="34">
        <f t="shared" si="28"/>
        <v>-1.5345909344106483</v>
      </c>
      <c r="N69" s="34">
        <f t="shared" si="28"/>
        <v>-1.1495635203860748</v>
      </c>
      <c r="O69" s="34">
        <f t="shared" si="28"/>
        <v>-1.1103285707073771</v>
      </c>
      <c r="P69" s="34">
        <f t="shared" si="28"/>
        <v>-1.0608238079718286</v>
      </c>
      <c r="Q69" s="34">
        <f t="shared" si="28"/>
        <v>-1.0151617072112618</v>
      </c>
      <c r="R69" s="34">
        <f t="shared" si="28"/>
        <v>-0.97367201457143149</v>
      </c>
      <c r="S69" s="34">
        <f t="shared" si="28"/>
        <v>-0.95263708941668834</v>
      </c>
      <c r="T69" s="34">
        <f t="shared" si="28"/>
        <v>-0.91107540117019525</v>
      </c>
      <c r="U69" s="34">
        <f t="shared" si="28"/>
        <v>-0.87324873456326468</v>
      </c>
      <c r="V69" s="34">
        <f t="shared" si="28"/>
        <v>-0.85024461334511192</v>
      </c>
      <c r="W69" s="34">
        <f t="shared" si="28"/>
        <v>-0.83968335513362691</v>
      </c>
    </row>
    <row r="70" spans="2:23" outlineLevel="1" x14ac:dyDescent="0.2">
      <c r="B70" s="79" t="s">
        <v>117</v>
      </c>
      <c r="C70" s="34"/>
      <c r="D70" s="34">
        <f t="shared" ref="D70:W70" si="29">-C57*D42/100*(1/(1+D42/100))</f>
        <v>-9.5541390828261328</v>
      </c>
      <c r="E70" s="34">
        <f t="shared" si="29"/>
        <v>-9.5187472343543398</v>
      </c>
      <c r="F70" s="34">
        <f t="shared" si="29"/>
        <v>-3.7005483331888849</v>
      </c>
      <c r="G70" s="34">
        <f t="shared" si="29"/>
        <v>-2.7195800094546931</v>
      </c>
      <c r="H70" s="34">
        <f t="shared" si="29"/>
        <v>-2.6531150494963089</v>
      </c>
      <c r="I70" s="34">
        <f t="shared" si="29"/>
        <v>-2.5774687425225511</v>
      </c>
      <c r="J70" s="34">
        <f t="shared" si="29"/>
        <v>-2.4875127988461214</v>
      </c>
      <c r="K70" s="34">
        <f t="shared" si="29"/>
        <v>-2.3823122239701204</v>
      </c>
      <c r="L70" s="34">
        <f t="shared" si="29"/>
        <v>-2.2631452790839792</v>
      </c>
      <c r="M70" s="34">
        <f t="shared" si="29"/>
        <v>-2.144142663624411</v>
      </c>
      <c r="N70" s="34">
        <f t="shared" si="29"/>
        <v>-2.0271146367464499</v>
      </c>
      <c r="O70" s="34">
        <f t="shared" si="29"/>
        <v>-1.928761762455802</v>
      </c>
      <c r="P70" s="34">
        <f t="shared" si="29"/>
        <v>-1.8738489966891501</v>
      </c>
      <c r="Q70" s="34">
        <f t="shared" si="29"/>
        <v>-1.8241932906062728</v>
      </c>
      <c r="R70" s="34">
        <f t="shared" si="29"/>
        <v>-1.7806479554111339</v>
      </c>
      <c r="S70" s="34">
        <f t="shared" si="29"/>
        <v>-1.7438717989920545</v>
      </c>
      <c r="T70" s="34">
        <f t="shared" si="29"/>
        <v>-1.7133750465057376</v>
      </c>
      <c r="U70" s="34">
        <f t="shared" si="29"/>
        <v>-1.6900140891135012</v>
      </c>
      <c r="V70" s="34">
        <f t="shared" si="29"/>
        <v>-1.6740979781347611</v>
      </c>
      <c r="W70" s="34">
        <f t="shared" si="29"/>
        <v>-1.6656189775555736</v>
      </c>
    </row>
    <row r="71" spans="2:23" outlineLevel="1" x14ac:dyDescent="0.2">
      <c r="B71" s="79" t="s">
        <v>118</v>
      </c>
      <c r="C71" s="49"/>
      <c r="D71" s="49">
        <f>'Baseline NFPC'!D70</f>
        <v>0.14982868406347905</v>
      </c>
      <c r="E71" s="49">
        <f>'Baseline NFPC'!E70</f>
        <v>-5.3859036614568367E-2</v>
      </c>
      <c r="F71" s="49">
        <f>'Baseline NFPC'!F70</f>
        <v>5.4820123310478863E-2</v>
      </c>
      <c r="G71" s="49">
        <f>'Baseline NFPC'!G70</f>
        <v>7.9460539406078778E-3</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3.4867119999999998</v>
      </c>
      <c r="E72" s="50">
        <f>'Input data'!E16</f>
        <v>1.75285</v>
      </c>
      <c r="F72" s="50">
        <f>'Input data'!F16</f>
        <v>0.62550260000000002</v>
      </c>
      <c r="G72" s="50">
        <f>'Input data'!G16</f>
        <v>0.3284956</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30">D15</f>
        <v>9.56404E-2</v>
      </c>
      <c r="E73" s="34">
        <f t="shared" si="30"/>
        <v>2.4978720000000001</v>
      </c>
      <c r="F73" s="34">
        <f t="shared" si="30"/>
        <v>-0.13437760000000001</v>
      </c>
      <c r="G73" s="34">
        <f t="shared" si="30"/>
        <v>0.1957401</v>
      </c>
      <c r="H73" s="34">
        <f t="shared" si="30"/>
        <v>0</v>
      </c>
      <c r="I73" s="34">
        <f t="shared" si="30"/>
        <v>0</v>
      </c>
      <c r="J73" s="34">
        <f t="shared" si="30"/>
        <v>0</v>
      </c>
      <c r="K73" s="34">
        <f t="shared" si="30"/>
        <v>0</v>
      </c>
      <c r="L73" s="34">
        <f t="shared" si="30"/>
        <v>0</v>
      </c>
      <c r="M73" s="34">
        <f t="shared" si="30"/>
        <v>0</v>
      </c>
      <c r="N73" s="34">
        <f t="shared" si="30"/>
        <v>0</v>
      </c>
      <c r="O73" s="34">
        <f t="shared" si="30"/>
        <v>0</v>
      </c>
      <c r="P73" s="34">
        <f t="shared" si="30"/>
        <v>0</v>
      </c>
      <c r="Q73" s="34">
        <f t="shared" si="30"/>
        <v>0</v>
      </c>
      <c r="R73" s="34">
        <f t="shared" si="30"/>
        <v>0</v>
      </c>
      <c r="S73" s="34">
        <f t="shared" si="30"/>
        <v>0</v>
      </c>
      <c r="T73" s="34">
        <f t="shared" si="30"/>
        <v>0</v>
      </c>
      <c r="U73" s="34">
        <f t="shared" si="30"/>
        <v>0</v>
      </c>
      <c r="V73" s="34">
        <f t="shared" si="30"/>
        <v>0</v>
      </c>
      <c r="W73" s="34">
        <f t="shared" si="30"/>
        <v>0</v>
      </c>
    </row>
    <row r="74" spans="2:23" outlineLevel="1" x14ac:dyDescent="0.2">
      <c r="B74" s="89" t="s">
        <v>121</v>
      </c>
      <c r="C74" s="49"/>
      <c r="D74" s="49">
        <f>+D72-D73</f>
        <v>3.3910715999999996</v>
      </c>
      <c r="E74" s="49">
        <f t="shared" ref="E74:T74" si="31">+E72-E73</f>
        <v>-0.74502200000000007</v>
      </c>
      <c r="F74" s="49">
        <f t="shared" si="31"/>
        <v>0.75988020000000001</v>
      </c>
      <c r="G74" s="49">
        <f t="shared" si="31"/>
        <v>0.1327555</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-6.2281121776039035</v>
      </c>
      <c r="E77" s="78">
        <f t="shared" ref="E77:T77" si="33">E59-E68</f>
        <v>-6.6919850786797799</v>
      </c>
      <c r="F77" s="78">
        <f t="shared" si="33"/>
        <v>-5.4353291790997966</v>
      </c>
      <c r="G77" s="78">
        <f>G59-G68</f>
        <v>-3.8879717175187691</v>
      </c>
      <c r="H77" s="78">
        <f t="shared" si="33"/>
        <v>-3.3942993926767917</v>
      </c>
      <c r="I77" s="78">
        <f t="shared" si="33"/>
        <v>-2.8128622023118801</v>
      </c>
      <c r="J77" s="78">
        <f t="shared" si="33"/>
        <v>-2.1714320939948344</v>
      </c>
      <c r="K77" s="78">
        <f t="shared" si="33"/>
        <v>-1.9068459290825004</v>
      </c>
      <c r="L77" s="78">
        <f t="shared" si="33"/>
        <v>-1.6573016415184556</v>
      </c>
      <c r="M77" s="78">
        <f t="shared" si="33"/>
        <v>-1.4320555586275643</v>
      </c>
      <c r="N77" s="78">
        <f t="shared" si="33"/>
        <v>-1.4326022873242592</v>
      </c>
      <c r="O77" s="78">
        <f t="shared" si="33"/>
        <v>-1.465073583516963</v>
      </c>
      <c r="P77" s="78">
        <f t="shared" si="33"/>
        <v>-1.5207593940074164</v>
      </c>
      <c r="Q77" s="78">
        <f t="shared" si="33"/>
        <v>-1.6147791649033305</v>
      </c>
      <c r="R77" s="78">
        <f t="shared" si="33"/>
        <v>-1.7423580876732805</v>
      </c>
      <c r="S77" s="78">
        <f t="shared" si="33"/>
        <v>-1.8832132645160193</v>
      </c>
      <c r="T77" s="78">
        <f t="shared" si="33"/>
        <v>-2.039816113986447</v>
      </c>
      <c r="U77" s="78">
        <f t="shared" ref="U77:W77" si="34">U59-U68</f>
        <v>-2.2196770030506556</v>
      </c>
      <c r="V77" s="78">
        <f t="shared" si="34"/>
        <v>-2.4239040463373334</v>
      </c>
      <c r="W77" s="78">
        <f t="shared" si="34"/>
        <v>-2.6626799406962891</v>
      </c>
    </row>
    <row r="78" spans="2:23" x14ac:dyDescent="0.2">
      <c r="B78" s="26" t="s">
        <v>42</v>
      </c>
      <c r="D78" s="34">
        <f>D60-D68-D64-D65-D66</f>
        <v>-6.957930671073747</v>
      </c>
      <c r="E78" s="34">
        <f t="shared" ref="E78:W78" si="35">E60-E68-E64-E65-E66</f>
        <v>-6.0453560584753543</v>
      </c>
      <c r="F78" s="34">
        <f t="shared" si="35"/>
        <v>-4.8832742323084872</v>
      </c>
      <c r="G78" s="34">
        <f t="shared" si="35"/>
        <v>-3.4729743033081202</v>
      </c>
      <c r="H78" s="34">
        <f t="shared" si="35"/>
        <v>-2.9003621337630983</v>
      </c>
      <c r="I78" s="34">
        <f t="shared" si="35"/>
        <v>-2.2663879612509485</v>
      </c>
      <c r="J78" s="34">
        <f t="shared" si="35"/>
        <v>-1.5899885213239915</v>
      </c>
      <c r="K78" s="34">
        <f t="shared" si="35"/>
        <v>-1.519216880635273</v>
      </c>
      <c r="L78" s="34">
        <f t="shared" si="35"/>
        <v>-1.4634871172948447</v>
      </c>
      <c r="M78" s="34">
        <f t="shared" si="35"/>
        <v>-1.4320555586275645</v>
      </c>
      <c r="N78" s="34">
        <f t="shared" si="35"/>
        <v>-1.4326027318885441</v>
      </c>
      <c r="O78" s="34">
        <f t="shared" si="35"/>
        <v>-1.4650753619683745</v>
      </c>
      <c r="P78" s="34">
        <f t="shared" si="35"/>
        <v>-1.5207620620484947</v>
      </c>
      <c r="Q78" s="34">
        <f t="shared" si="35"/>
        <v>-1.6147809430229381</v>
      </c>
      <c r="R78" s="34">
        <f t="shared" si="35"/>
        <v>-1.7423603109196306</v>
      </c>
      <c r="S78" s="34">
        <f t="shared" si="35"/>
        <v>-1.8832141522812735</v>
      </c>
      <c r="T78" s="34">
        <f t="shared" si="35"/>
        <v>-2.0398170017517012</v>
      </c>
      <c r="U78" s="34">
        <f t="shared" si="35"/>
        <v>-2.2196783364497481</v>
      </c>
      <c r="V78" s="34">
        <f t="shared" si="35"/>
        <v>-2.4239067170880029</v>
      </c>
      <c r="W78" s="34">
        <f t="shared" si="35"/>
        <v>-2.6626830573081515</v>
      </c>
    </row>
    <row r="79" spans="2:23" x14ac:dyDescent="0.2">
      <c r="B79" s="35" t="s">
        <v>123</v>
      </c>
      <c r="C79" s="35"/>
      <c r="D79" s="285">
        <f>'Input data'!D45</f>
        <v>22.366195594702013</v>
      </c>
      <c r="E79" s="285">
        <f>'Input data'!E45</f>
        <v>8.1638648438954018</v>
      </c>
      <c r="F79" s="285">
        <f>'Input data'!F45</f>
        <v>3.6361332673542281</v>
      </c>
      <c r="G79" s="49">
        <f>'Input data'!G33+G42-(G$12-F$12)/'Input data'!$C$64*100</f>
        <v>4.7503461202103532</v>
      </c>
      <c r="H79" s="49">
        <f>'Input data'!H33+H42-(H$12-G$12)/'Input data'!$C$64*100</f>
        <v>4.4654573702103537</v>
      </c>
      <c r="I79" s="49">
        <f>'Input data'!I33+I42-(I$12-H$12)/'Input data'!$C$64*100</f>
        <v>4.2539706202103531</v>
      </c>
      <c r="J79" s="49">
        <f>'Input data'!J33+J42-(J$12-I$12)/'Input data'!$C$64*100</f>
        <v>4.0864718702103531</v>
      </c>
      <c r="K79" s="49">
        <f>'Input data'!K33+K42-(K$12-J$12)/'Input data'!$C$64*100</f>
        <v>5.5596879999999995</v>
      </c>
      <c r="L79" s="49">
        <f>'Input data'!L33+L42-(L$12-K$12)/'Input data'!$C$64*100</f>
        <v>5.4909772500000003</v>
      </c>
      <c r="M79" s="49">
        <f>'Input data'!M33+M42-(M$12-L$12)/'Input data'!$C$64*100</f>
        <v>5.3812804999999999</v>
      </c>
      <c r="N79" s="49">
        <f>'Input data'!N33+N42-(N$12-M$12)/'Input data'!$C$64*100</f>
        <v>5.1812727499999998</v>
      </c>
      <c r="O79" s="49">
        <f>'Input data'!O33+O42-(O$12-N$12)/'Input data'!$C$64*100</f>
        <v>5.0926849999999995</v>
      </c>
      <c r="P79" s="49">
        <f>'Input data'!P33+P42-(P$12-O$12)/'Input data'!$C$64*100</f>
        <v>5.0442130000000001</v>
      </c>
      <c r="Q79" s="49">
        <f>'Input data'!Q33+Q42-(Q$12-P$12)/'Input data'!$C$64*100</f>
        <v>4.9957409999999998</v>
      </c>
      <c r="R79" s="49">
        <f>'Input data'!R33+R42-(R$12-Q$12)/'Input data'!$C$64*100</f>
        <v>4.9472690000000004</v>
      </c>
      <c r="S79" s="49">
        <f>'Input data'!S33+S42-(S$12-R$12)/'Input data'!$C$64*100</f>
        <v>4.9290859999999999</v>
      </c>
      <c r="T79" s="49">
        <f>'Input data'!T33+T42-(T$12-S$12)/'Input data'!$C$64*100</f>
        <v>4.8651499999999999</v>
      </c>
      <c r="U79" s="49">
        <f>'Input data'!U33+U42-(U$12-T$12)/'Input data'!$C$64*100</f>
        <v>4.7999669999999997</v>
      </c>
      <c r="V79" s="49">
        <f>'Input data'!V33+V42-(V$12-U$12)/'Input data'!$C$64*100</f>
        <v>4.7552560000000001</v>
      </c>
      <c r="W79" s="49">
        <f>'Input data'!W33+W42-(W$12-V$12)/'Input data'!$C$64*100</f>
        <v>4.7271320000000001</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4.3890614952103535</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187</v>
      </c>
      <c r="C83" s="51"/>
      <c r="D83" s="51"/>
      <c r="E83" s="51"/>
      <c r="F83" s="51"/>
      <c r="G83" s="258"/>
      <c r="H83" s="258"/>
      <c r="I83" s="258"/>
      <c r="J83" s="258"/>
      <c r="K83" s="258">
        <f t="shared" ref="K83:W83" si="36">IF(K57&lt;J57,0,1)</f>
        <v>0</v>
      </c>
      <c r="L83" s="258">
        <f t="shared" si="36"/>
        <v>0</v>
      </c>
      <c r="M83" s="258">
        <f t="shared" si="36"/>
        <v>0</v>
      </c>
      <c r="N83" s="258">
        <f t="shared" si="36"/>
        <v>0</v>
      </c>
      <c r="O83" s="258">
        <f t="shared" si="36"/>
        <v>0</v>
      </c>
      <c r="P83" s="258">
        <f t="shared" si="36"/>
        <v>0</v>
      </c>
      <c r="Q83" s="258">
        <f t="shared" si="36"/>
        <v>0</v>
      </c>
      <c r="R83" s="258">
        <f t="shared" si="36"/>
        <v>0</v>
      </c>
      <c r="S83" s="258">
        <f t="shared" si="36"/>
        <v>0</v>
      </c>
      <c r="T83" s="258">
        <f t="shared" si="36"/>
        <v>0</v>
      </c>
      <c r="U83" s="258">
        <f t="shared" si="36"/>
        <v>0</v>
      </c>
      <c r="V83" s="258">
        <f t="shared" si="36"/>
        <v>0</v>
      </c>
      <c r="W83" s="258">
        <f t="shared" si="36"/>
        <v>1</v>
      </c>
    </row>
    <row r="84" spans="2:23" x14ac:dyDescent="0.2">
      <c r="B84" s="26" t="s">
        <v>261</v>
      </c>
      <c r="F84" s="29">
        <f t="shared" ref="F84:W84" si="37">IF(F57&gt;90,1,0)</f>
        <v>0</v>
      </c>
      <c r="G84" s="29">
        <f t="shared" si="37"/>
        <v>0</v>
      </c>
      <c r="H84" s="29">
        <f t="shared" si="37"/>
        <v>0</v>
      </c>
      <c r="I84" s="29">
        <f t="shared" si="37"/>
        <v>0</v>
      </c>
      <c r="J84" s="29">
        <f t="shared" si="37"/>
        <v>0</v>
      </c>
      <c r="K84" s="29">
        <f t="shared" si="37"/>
        <v>0</v>
      </c>
      <c r="L84" s="29">
        <f t="shared" si="37"/>
        <v>0</v>
      </c>
      <c r="M84" s="29">
        <f t="shared" si="37"/>
        <v>0</v>
      </c>
      <c r="N84" s="29">
        <f t="shared" si="37"/>
        <v>0</v>
      </c>
      <c r="O84" s="29">
        <f t="shared" si="37"/>
        <v>0</v>
      </c>
      <c r="P84" s="29">
        <f t="shared" si="37"/>
        <v>0</v>
      </c>
      <c r="Q84" s="29">
        <f t="shared" si="37"/>
        <v>0</v>
      </c>
      <c r="R84" s="29">
        <f t="shared" si="37"/>
        <v>0</v>
      </c>
      <c r="S84" s="29">
        <f t="shared" si="37"/>
        <v>0</v>
      </c>
      <c r="T84" s="29">
        <f t="shared" si="37"/>
        <v>0</v>
      </c>
      <c r="U84" s="29">
        <f t="shared" si="37"/>
        <v>0</v>
      </c>
      <c r="V84" s="29">
        <f t="shared" si="37"/>
        <v>0</v>
      </c>
      <c r="W84" s="29">
        <f t="shared" si="37"/>
        <v>0</v>
      </c>
    </row>
    <row r="85" spans="2:23" x14ac:dyDescent="0.2">
      <c r="B85" s="26" t="s">
        <v>262</v>
      </c>
      <c r="F85" s="29">
        <f t="shared" ref="F85:W85" si="38">IF(AND(F57&gt;60,F57&lt;=90),1,0)</f>
        <v>1</v>
      </c>
      <c r="G85" s="29">
        <f t="shared" si="38"/>
        <v>1</v>
      </c>
      <c r="H85" s="29">
        <f t="shared" si="38"/>
        <v>1</v>
      </c>
      <c r="I85" s="29">
        <f t="shared" si="38"/>
        <v>1</v>
      </c>
      <c r="J85" s="29">
        <f t="shared" si="38"/>
        <v>1</v>
      </c>
      <c r="K85" s="29">
        <f t="shared" si="38"/>
        <v>1</v>
      </c>
      <c r="L85" s="29">
        <f t="shared" si="38"/>
        <v>1</v>
      </c>
      <c r="M85" s="29">
        <f t="shared" si="38"/>
        <v>1</v>
      </c>
      <c r="N85" s="29">
        <f t="shared" si="38"/>
        <v>1</v>
      </c>
      <c r="O85" s="29">
        <f t="shared" si="38"/>
        <v>1</v>
      </c>
      <c r="P85" s="29">
        <f t="shared" si="38"/>
        <v>0</v>
      </c>
      <c r="Q85" s="29">
        <f t="shared" si="38"/>
        <v>0</v>
      </c>
      <c r="R85" s="29">
        <f t="shared" si="38"/>
        <v>0</v>
      </c>
      <c r="S85" s="29">
        <f t="shared" si="38"/>
        <v>0</v>
      </c>
      <c r="T85" s="29">
        <f t="shared" si="38"/>
        <v>0</v>
      </c>
      <c r="U85" s="29">
        <f t="shared" si="38"/>
        <v>0</v>
      </c>
      <c r="V85" s="29">
        <f t="shared" si="38"/>
        <v>0</v>
      </c>
      <c r="W85" s="29">
        <f t="shared" si="38"/>
        <v>0</v>
      </c>
    </row>
    <row r="86" spans="2:23" x14ac:dyDescent="0.2">
      <c r="B86" s="26" t="s">
        <v>263</v>
      </c>
      <c r="F86" s="29">
        <f t="shared" ref="F86:W86" si="39">IF(F57&gt;60,1,0)</f>
        <v>1</v>
      </c>
      <c r="G86" s="29">
        <f t="shared" si="39"/>
        <v>1</v>
      </c>
      <c r="H86" s="29">
        <f t="shared" si="39"/>
        <v>1</v>
      </c>
      <c r="I86" s="29">
        <f t="shared" si="39"/>
        <v>1</v>
      </c>
      <c r="J86" s="29">
        <f t="shared" si="39"/>
        <v>1</v>
      </c>
      <c r="K86" s="29">
        <f t="shared" si="39"/>
        <v>1</v>
      </c>
      <c r="L86" s="29">
        <f t="shared" si="39"/>
        <v>1</v>
      </c>
      <c r="M86" s="29">
        <f t="shared" si="39"/>
        <v>1</v>
      </c>
      <c r="N86" s="29">
        <f t="shared" si="39"/>
        <v>1</v>
      </c>
      <c r="O86" s="29">
        <f t="shared" si="39"/>
        <v>1</v>
      </c>
      <c r="P86" s="29">
        <f t="shared" si="39"/>
        <v>0</v>
      </c>
      <c r="Q86" s="29">
        <f t="shared" si="39"/>
        <v>0</v>
      </c>
      <c r="R86" s="29">
        <f t="shared" si="39"/>
        <v>0</v>
      </c>
      <c r="S86" s="29">
        <f t="shared" si="39"/>
        <v>0</v>
      </c>
      <c r="T86" s="29">
        <f t="shared" si="39"/>
        <v>0</v>
      </c>
      <c r="U86" s="29">
        <f t="shared" si="39"/>
        <v>0</v>
      </c>
      <c r="V86" s="29">
        <f t="shared" si="39"/>
        <v>0</v>
      </c>
      <c r="W86" s="29">
        <f t="shared" si="39"/>
        <v>0</v>
      </c>
    </row>
    <row r="87" spans="2:23" x14ac:dyDescent="0.2">
      <c r="B87" s="26" t="s">
        <v>264</v>
      </c>
      <c r="F87" s="366">
        <f>'Input data'!F17</f>
        <v>1</v>
      </c>
      <c r="G87" s="29">
        <f>IF(F87=0,0,IF(AND(E77&gt;-3.05,F77&gt;-3.05),0,1))</f>
        <v>1</v>
      </c>
      <c r="H87" s="29">
        <f t="shared" ref="H87:W87" si="40">IF(G87=0,0,IF(AND(F77&gt;-3.05,G77&gt;-3.05),0,1))</f>
        <v>1</v>
      </c>
      <c r="I87" s="29">
        <f t="shared" si="40"/>
        <v>1</v>
      </c>
      <c r="J87" s="29">
        <f t="shared" si="40"/>
        <v>1</v>
      </c>
      <c r="K87" s="29">
        <f t="shared" si="40"/>
        <v>0</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259</v>
      </c>
      <c r="F88" s="29">
        <f t="shared" ref="F88:W88" si="41">IF(F78&gt;=-1.55,1,0)</f>
        <v>0</v>
      </c>
      <c r="G88" s="29">
        <f t="shared" si="41"/>
        <v>0</v>
      </c>
      <c r="H88" s="29">
        <f t="shared" si="41"/>
        <v>0</v>
      </c>
      <c r="I88" s="29">
        <f t="shared" si="41"/>
        <v>0</v>
      </c>
      <c r="J88" s="29">
        <f t="shared" si="41"/>
        <v>0</v>
      </c>
      <c r="K88" s="29">
        <f t="shared" si="41"/>
        <v>1</v>
      </c>
      <c r="L88" s="29">
        <f t="shared" si="41"/>
        <v>1</v>
      </c>
      <c r="M88" s="29">
        <f t="shared" si="41"/>
        <v>1</v>
      </c>
      <c r="N88" s="29">
        <f t="shared" si="41"/>
        <v>1</v>
      </c>
      <c r="O88" s="29">
        <f t="shared" si="41"/>
        <v>1</v>
      </c>
      <c r="P88" s="29">
        <f t="shared" si="41"/>
        <v>1</v>
      </c>
      <c r="Q88" s="29">
        <f t="shared" si="41"/>
        <v>0</v>
      </c>
      <c r="R88" s="29">
        <f t="shared" si="41"/>
        <v>0</v>
      </c>
      <c r="S88" s="29">
        <f t="shared" si="41"/>
        <v>0</v>
      </c>
      <c r="T88" s="29">
        <f t="shared" si="41"/>
        <v>0</v>
      </c>
      <c r="U88" s="29">
        <f t="shared" si="41"/>
        <v>0</v>
      </c>
      <c r="V88" s="29">
        <f t="shared" si="41"/>
        <v>0</v>
      </c>
      <c r="W88" s="29">
        <f t="shared" si="41"/>
        <v>0</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4.9181599323084875</v>
      </c>
      <c r="G90" s="34">
        <f>F57*G36/100*(1/((1+'Input data'!G30/100)*(1+G42/100)))</f>
        <v>4.1478841287887658</v>
      </c>
      <c r="H90" s="34">
        <f>G57*H36/100*(1/((1+'Input data'!H30/100)*(1+H42/100)))</f>
        <v>4.2415305544219954</v>
      </c>
      <c r="I90" s="34">
        <f>H57*I36/100*(1/((1+'Input data'!I30/100)*(1+I42/100)))</f>
        <v>4.2679033889323614</v>
      </c>
      <c r="J90" s="34">
        <f>I57*J36/100*(1/((1+'Input data'!J30/100)*(1+J42/100)))</f>
        <v>4.2573849978336904</v>
      </c>
      <c r="K90" s="34">
        <f>J57*K36/100*(1/((1+'Input data'!K30/100)*(1+K42/100)))</f>
        <v>4.1991486385591372</v>
      </c>
      <c r="L90" s="34">
        <f>K57*L36/100*(1/((1+'Input data'!L30/100)*(1+L42/100)))</f>
        <v>4.0989364935396768</v>
      </c>
      <c r="M90" s="34">
        <f>L57*M36/100*(1/((1+'Input data'!M30/100)*(1+M42/100)))</f>
        <v>3.9870659025385242</v>
      </c>
      <c r="N90" s="34">
        <f>M57*N36/100*(1/((1+'Input data'!N30/100)*(1+N42/100)))</f>
        <v>3.8697604318885448</v>
      </c>
      <c r="O90" s="34">
        <f>N57*O36/100*(1/((1+'Input data'!O30/100)*(1+O42/100)))</f>
        <v>3.7732090619683745</v>
      </c>
      <c r="P90" s="34">
        <f>O57*P36/100*(1/((1+'Input data'!P30/100)*(1+P42/100)))</f>
        <v>3.6748007620484948</v>
      </c>
      <c r="Q90" s="34">
        <f>P57*Q36/100*(1/((1+'Input data'!Q30/100)*(1+Q42/100)))</f>
        <v>3.5819556430229387</v>
      </c>
      <c r="R90" s="34">
        <f>Q57*R36/100*(1/((1+'Input data'!R30/100)*(1+R42/100)))</f>
        <v>3.4969700109196316</v>
      </c>
      <c r="S90" s="34">
        <f>R57*S36/100*(1/((1+'Input data'!S30/100)*(1+S42/100)))</f>
        <v>3.420579852281274</v>
      </c>
      <c r="T90" s="34">
        <f>S57*T36/100*(1/((1+'Input data'!T30/100)*(1+T42/100)))</f>
        <v>3.3547487017517028</v>
      </c>
      <c r="U90" s="34">
        <f>T57*U36/100*(1/((1+'Input data'!U30/100)*(1+U42/100)))</f>
        <v>3.2998850364497501</v>
      </c>
      <c r="V90" s="34">
        <f>U57*V36/100*(1/((1+'Input data'!V30/100)*(1+V42/100)))</f>
        <v>3.2560394170880032</v>
      </c>
      <c r="W90" s="34">
        <f>V57*W36/100*(1/((1+'Input data'!W30/100)*(1+W42/100)))</f>
        <v>3.2233907573081524</v>
      </c>
    </row>
    <row r="91" spans="2:23" x14ac:dyDescent="0.2">
      <c r="B91" s="32" t="s">
        <v>260</v>
      </c>
      <c r="F91" s="34"/>
      <c r="G91" s="34">
        <f>G90-F90</f>
        <v>-0.77027580351972169</v>
      </c>
      <c r="H91" s="34">
        <f t="shared" ref="H91:W91" si="42">H90-G90</f>
        <v>9.3646425633229669E-2</v>
      </c>
      <c r="I91" s="34">
        <f t="shared" si="42"/>
        <v>2.6372834510365983E-2</v>
      </c>
      <c r="J91" s="34">
        <f t="shared" si="42"/>
        <v>-1.0518391098671032E-2</v>
      </c>
      <c r="K91" s="34">
        <f t="shared" si="42"/>
        <v>-5.8236359274553173E-2</v>
      </c>
      <c r="L91" s="34">
        <f t="shared" si="42"/>
        <v>-0.10021214501946041</v>
      </c>
      <c r="M91" s="34">
        <f t="shared" si="42"/>
        <v>-0.1118705910011526</v>
      </c>
      <c r="N91" s="34">
        <f t="shared" si="42"/>
        <v>-0.11730547064997943</v>
      </c>
      <c r="O91" s="34">
        <f t="shared" si="42"/>
        <v>-9.6551369920170327E-2</v>
      </c>
      <c r="P91" s="34">
        <f t="shared" si="42"/>
        <v>-9.8408299919879649E-2</v>
      </c>
      <c r="Q91" s="34">
        <f t="shared" si="42"/>
        <v>-9.2845119025556144E-2</v>
      </c>
      <c r="R91" s="34">
        <f t="shared" si="42"/>
        <v>-8.4985632103307118E-2</v>
      </c>
      <c r="S91" s="34">
        <f t="shared" si="42"/>
        <v>-7.6390158638357519E-2</v>
      </c>
      <c r="T91" s="34">
        <f t="shared" si="42"/>
        <v>-6.5831150529571225E-2</v>
      </c>
      <c r="U91" s="34">
        <f t="shared" si="42"/>
        <v>-5.4863665301952746E-2</v>
      </c>
      <c r="V91" s="34">
        <f t="shared" si="42"/>
        <v>-4.3845619361746913E-2</v>
      </c>
      <c r="W91" s="34">
        <f t="shared" si="42"/>
        <v>-3.2648659779850764E-2</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1</v>
      </c>
      <c r="E95" s="29">
        <f t="shared" si="43"/>
        <v>1</v>
      </c>
      <c r="F95" s="29">
        <f t="shared" si="43"/>
        <v>1</v>
      </c>
      <c r="G95" s="29">
        <f t="shared" si="43"/>
        <v>1</v>
      </c>
      <c r="H95" s="29">
        <f t="shared" si="43"/>
        <v>1</v>
      </c>
      <c r="I95" s="29">
        <f t="shared" si="43"/>
        <v>1</v>
      </c>
      <c r="J95" s="29">
        <f t="shared" si="43"/>
        <v>1</v>
      </c>
      <c r="K95" s="29">
        <f t="shared" si="43"/>
        <v>1</v>
      </c>
      <c r="L95" s="29">
        <f t="shared" si="43"/>
        <v>1</v>
      </c>
      <c r="M95" s="29">
        <f t="shared" si="43"/>
        <v>1</v>
      </c>
      <c r="N95" s="29">
        <f t="shared" si="43"/>
        <v>1</v>
      </c>
      <c r="O95" s="29">
        <f t="shared" si="43"/>
        <v>1</v>
      </c>
      <c r="P95" s="29">
        <f t="shared" si="43"/>
        <v>1</v>
      </c>
      <c r="Q95" s="29">
        <f t="shared" si="43"/>
        <v>1</v>
      </c>
      <c r="R95" s="29">
        <f t="shared" si="43"/>
        <v>1</v>
      </c>
      <c r="S95" s="29">
        <f t="shared" si="43"/>
        <v>1</v>
      </c>
      <c r="T95" s="29">
        <f t="shared" si="43"/>
        <v>1</v>
      </c>
      <c r="U95" s="29">
        <f t="shared" si="43"/>
        <v>1</v>
      </c>
      <c r="V95" s="29">
        <f t="shared" si="43"/>
        <v>1</v>
      </c>
      <c r="W95" s="29">
        <f t="shared" si="43"/>
        <v>1</v>
      </c>
    </row>
    <row r="96" spans="2:23" x14ac:dyDescent="0.2">
      <c r="B96" s="26" t="s">
        <v>126</v>
      </c>
      <c r="D96" s="29">
        <f t="shared" ref="D96:W96" si="44">IF(AND(D95=0,ABS(D100-C100*D43/((1+D24/100)*(1+D42/100)))&lt;((C106*C100*D43/((1+D24/100)*(1+D42/100))+(D39*C100*C107*D43/((1+D24/100)*(1+D42/100)))))),1,0)</f>
        <v>0</v>
      </c>
      <c r="E96" s="29">
        <f t="shared" si="44"/>
        <v>0</v>
      </c>
      <c r="F96" s="29">
        <f t="shared" si="44"/>
        <v>0</v>
      </c>
      <c r="G96" s="29">
        <f t="shared" si="44"/>
        <v>0</v>
      </c>
      <c r="H96" s="29">
        <f t="shared" si="44"/>
        <v>0</v>
      </c>
      <c r="I96" s="29">
        <f t="shared" si="44"/>
        <v>0</v>
      </c>
      <c r="J96" s="29">
        <f t="shared" si="44"/>
        <v>0</v>
      </c>
      <c r="K96" s="29">
        <f t="shared" si="44"/>
        <v>0</v>
      </c>
      <c r="L96" s="29">
        <f t="shared" si="44"/>
        <v>0</v>
      </c>
      <c r="M96" s="29">
        <f t="shared" si="44"/>
        <v>0</v>
      </c>
      <c r="N96" s="29">
        <f t="shared" si="44"/>
        <v>0</v>
      </c>
      <c r="O96" s="29">
        <f t="shared" si="44"/>
        <v>0</v>
      </c>
      <c r="P96" s="29">
        <f t="shared" si="44"/>
        <v>0</v>
      </c>
      <c r="Q96" s="29">
        <f t="shared" si="44"/>
        <v>0</v>
      </c>
      <c r="R96" s="29">
        <f t="shared" si="44"/>
        <v>0</v>
      </c>
      <c r="S96" s="29">
        <f t="shared" si="44"/>
        <v>0</v>
      </c>
      <c r="T96" s="29">
        <f t="shared" si="44"/>
        <v>0</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76.688640000000007</v>
      </c>
      <c r="D100" s="110">
        <f>D57</f>
        <v>74.056958506530165</v>
      </c>
      <c r="E100" s="110">
        <f>E57</f>
        <v>73.520357526734585</v>
      </c>
      <c r="F100" s="110">
        <f>F57</f>
        <v>74.287964673525892</v>
      </c>
      <c r="G100" s="110">
        <f>G57</f>
        <v>73.854222000134087</v>
      </c>
      <c r="H100" s="110">
        <f t="shared" ref="H100:W100" si="45">G100*(1+H113/100)*H43-H60-H61+H62+H63+H64+H65+H66+H72</f>
        <v>73.145093744834043</v>
      </c>
      <c r="I100" s="110">
        <f t="shared" si="45"/>
        <v>71.995695653916627</v>
      </c>
      <c r="J100" s="110">
        <f t="shared" si="45"/>
        <v>70.351529341469316</v>
      </c>
      <c r="K100" s="110">
        <f t="shared" si="45"/>
        <v>68.220207862620057</v>
      </c>
      <c r="L100" s="110">
        <f t="shared" si="45"/>
        <v>66.005551885247996</v>
      </c>
      <c r="M100" s="110">
        <f t="shared" si="45"/>
        <v>63.75887384584049</v>
      </c>
      <c r="N100" s="110">
        <f t="shared" si="45"/>
        <v>62.01479797603222</v>
      </c>
      <c r="O100" s="110">
        <f t="shared" si="45"/>
        <v>60.440781226386001</v>
      </c>
      <c r="P100" s="110">
        <f t="shared" si="45"/>
        <v>59.026867815732444</v>
      </c>
      <c r="Q100" s="110">
        <f t="shared" si="45"/>
        <v>57.802291982818247</v>
      </c>
      <c r="R100" s="110">
        <f t="shared" si="45"/>
        <v>56.790330100508967</v>
      </c>
      <c r="S100" s="110">
        <f t="shared" si="45"/>
        <v>55.977034476616254</v>
      </c>
      <c r="T100" s="110">
        <f t="shared" si="45"/>
        <v>55.392400142926775</v>
      </c>
      <c r="U100" s="110">
        <f t="shared" si="45"/>
        <v>55.048814322300672</v>
      </c>
      <c r="V100" s="110">
        <f t="shared" si="45"/>
        <v>54.948375777158141</v>
      </c>
      <c r="W100" s="110">
        <f t="shared" si="45"/>
        <v>55.105753385165237</v>
      </c>
    </row>
    <row r="101" spans="2:23" x14ac:dyDescent="0.2">
      <c r="B101" s="26" t="s">
        <v>127</v>
      </c>
      <c r="C101" s="34"/>
      <c r="D101" s="254">
        <f>'Input data'!C66*$D$100</f>
        <v>59.783430721748879</v>
      </c>
      <c r="E101" s="34">
        <f t="shared" ref="E101:W101" si="46">IF(E100=0,0,IF(E95=1,D100*E43/((1+E24/100)*(1+E42/100))-E102-E103,IF(AND(E95=0,E96=1),(1-D106-E39*D107)*D100*E43/((1+E24/100)*(1+E42/100)),E100)))</f>
        <v>57.543983859764531</v>
      </c>
      <c r="F101" s="34">
        <f t="shared" si="46"/>
        <v>60.461160881524357</v>
      </c>
      <c r="G101" s="34">
        <f t="shared" si="46"/>
        <v>61.088794442536802</v>
      </c>
      <c r="H101" s="34">
        <f t="shared" si="46"/>
        <v>60.983492914591722</v>
      </c>
      <c r="I101" s="34">
        <f t="shared" si="46"/>
        <v>60.396800799453061</v>
      </c>
      <c r="J101" s="34">
        <f t="shared" si="46"/>
        <v>59.435195481754349</v>
      </c>
      <c r="K101" s="34">
        <f t="shared" si="46"/>
        <v>57.726509990851135</v>
      </c>
      <c r="L101" s="34">
        <f t="shared" si="46"/>
        <v>55.937822803588887</v>
      </c>
      <c r="M101" s="34">
        <f t="shared" si="46"/>
        <v>54.10583180899269</v>
      </c>
      <c r="N101" s="34">
        <f t="shared" si="46"/>
        <v>52.51935793044013</v>
      </c>
      <c r="O101" s="34">
        <f t="shared" si="46"/>
        <v>51.056602373619377</v>
      </c>
      <c r="P101" s="34">
        <f t="shared" si="46"/>
        <v>49.779755056982538</v>
      </c>
      <c r="Q101" s="34">
        <f t="shared" si="46"/>
        <v>48.633678975591494</v>
      </c>
      <c r="R101" s="34">
        <f t="shared" si="46"/>
        <v>47.642532260247499</v>
      </c>
      <c r="S101" s="34">
        <f t="shared" si="46"/>
        <v>46.811699355107798</v>
      </c>
      <c r="T101" s="34">
        <f t="shared" si="46"/>
        <v>46.164962830740535</v>
      </c>
      <c r="U101" s="34">
        <f t="shared" si="46"/>
        <v>45.706499197947984</v>
      </c>
      <c r="V101" s="34">
        <f t="shared" si="46"/>
        <v>45.437105766787909</v>
      </c>
      <c r="W101" s="34">
        <f t="shared" si="46"/>
        <v>45.360606701449861</v>
      </c>
    </row>
    <row r="102" spans="2:23" x14ac:dyDescent="0.2">
      <c r="B102" s="105" t="s">
        <v>128</v>
      </c>
      <c r="C102" s="34"/>
      <c r="D102" s="254">
        <f>'Input data'!C67*$D$100</f>
        <v>3.8296324056498476</v>
      </c>
      <c r="E102" s="34">
        <f t="shared" ref="E102:W102" si="47">IF(E100=0,0,IF(E95=1,E39*D100*D107*E43/((1+E24/100)*(1+E42/100)),IF(AND(E95=0,E96=1),(E39*D100*D107*E43/((1+E24/100)*(1+E42/100)))*(1-ABS(E100-D100*E43/((1+E24/100)*(1+E42/100)))/((E39*D100*D107*E43/((1+E24/100)*(1+E42/100)))+(D106*D100*E43/((1+E24/100)*(1+E42/100))))),0)))</f>
        <v>3.0580010029883016</v>
      </c>
      <c r="F102" s="34">
        <f t="shared" si="47"/>
        <v>4.3719460048068246</v>
      </c>
      <c r="G102" s="34">
        <f t="shared" si="47"/>
        <v>4.5004929839320518</v>
      </c>
      <c r="H102" s="34">
        <f t="shared" si="47"/>
        <v>4.5759657916840011</v>
      </c>
      <c r="I102" s="34">
        <f t="shared" si="47"/>
        <v>4.6145823022394827</v>
      </c>
      <c r="J102" s="34">
        <f t="shared" si="47"/>
        <v>4.6226425646089</v>
      </c>
      <c r="K102" s="34">
        <f t="shared" si="47"/>
        <v>4.5691368600102011</v>
      </c>
      <c r="L102" s="34">
        <f t="shared" si="47"/>
        <v>4.5046856643254136</v>
      </c>
      <c r="M102" s="34">
        <f t="shared" si="47"/>
        <v>4.4319459520729829</v>
      </c>
      <c r="N102" s="34">
        <f t="shared" si="47"/>
        <v>4.3747777823917922</v>
      </c>
      <c r="O102" s="34">
        <f t="shared" si="47"/>
        <v>4.3238708767695906</v>
      </c>
      <c r="P102" s="34">
        <f t="shared" si="47"/>
        <v>4.2157374979347315</v>
      </c>
      <c r="Q102" s="34">
        <f t="shared" si="47"/>
        <v>4.1186788461539878</v>
      </c>
      <c r="R102" s="34">
        <f t="shared" si="47"/>
        <v>4.0347408201623471</v>
      </c>
      <c r="S102" s="34">
        <f t="shared" si="47"/>
        <v>3.9643794166418576</v>
      </c>
      <c r="T102" s="34">
        <f t="shared" si="47"/>
        <v>3.9096087289609307</v>
      </c>
      <c r="U102" s="34">
        <f t="shared" si="47"/>
        <v>3.8707824565939712</v>
      </c>
      <c r="V102" s="34">
        <f t="shared" si="47"/>
        <v>3.8479681219686035</v>
      </c>
      <c r="W102" s="34">
        <f t="shared" si="47"/>
        <v>3.8414895851028943</v>
      </c>
    </row>
    <row r="103" spans="2:23" x14ac:dyDescent="0.2">
      <c r="B103" s="105" t="s">
        <v>129</v>
      </c>
      <c r="C103" s="34"/>
      <c r="D103" s="254">
        <f>'Input data'!C68*$D$100</f>
        <v>3.9703023838181903</v>
      </c>
      <c r="E103" s="34">
        <f t="shared" ref="E103:W103" si="48">IF(E100=0,0,IF(E95=1,(1-D107)*D100*E43/((1+E24/100)*(1+E42/100)),IF(AND(E95=0,E96=1),(D106*D100*E43/((1+E24/100)*(1+E42/100)))*(1-ABS(E100-D100*E43/((1+E24/100)*(1+E42/100)))/((E39*D100*D107*E43/((1+E24/100)*(1+E42/100)))+(D106*D100*E43/((1+E24/100)*(1+E42/100))))),0)))</f>
        <v>3.782375114175264</v>
      </c>
      <c r="F103" s="34">
        <f t="shared" si="48"/>
        <v>4.0990544829312858</v>
      </c>
      <c r="G103" s="34">
        <f t="shared" si="48"/>
        <v>4.1739319155383994</v>
      </c>
      <c r="H103" s="34">
        <f t="shared" si="48"/>
        <v>4.1913356458815203</v>
      </c>
      <c r="I103" s="34">
        <f t="shared" si="48"/>
        <v>4.1714503499122033</v>
      </c>
      <c r="J103" s="34">
        <f t="shared" si="48"/>
        <v>4.1222592011112278</v>
      </c>
      <c r="K103" s="34">
        <f t="shared" si="48"/>
        <v>4.0177150826762285</v>
      </c>
      <c r="L103" s="34">
        <f t="shared" si="48"/>
        <v>3.9057417758152373</v>
      </c>
      <c r="M103" s="34">
        <f t="shared" si="48"/>
        <v>3.7890405261472577</v>
      </c>
      <c r="N103" s="34">
        <f t="shared" si="48"/>
        <v>3.6880599758760337</v>
      </c>
      <c r="O103" s="34">
        <f t="shared" si="48"/>
        <v>3.5952343924800703</v>
      </c>
      <c r="P103" s="34">
        <f t="shared" si="48"/>
        <v>3.510615866807751</v>
      </c>
      <c r="Q103" s="34">
        <f t="shared" si="48"/>
        <v>3.4351549961694237</v>
      </c>
      <c r="R103" s="34">
        <f t="shared" si="48"/>
        <v>3.3706989324258316</v>
      </c>
      <c r="S103" s="34">
        <f t="shared" si="48"/>
        <v>3.3177424403505698</v>
      </c>
      <c r="T103" s="34">
        <f t="shared" si="48"/>
        <v>3.2780124692388513</v>
      </c>
      <c r="U103" s="34">
        <f t="shared" si="48"/>
        <v>3.2518556647080397</v>
      </c>
      <c r="V103" s="34">
        <f t="shared" si="48"/>
        <v>3.2393978420642773</v>
      </c>
      <c r="W103" s="34">
        <f t="shared" si="48"/>
        <v>3.2409771579161792</v>
      </c>
    </row>
    <row r="104" spans="2:23" x14ac:dyDescent="0.2">
      <c r="B104" s="105" t="s">
        <v>130</v>
      </c>
      <c r="C104" s="34"/>
      <c r="D104" s="254">
        <f>'Input data'!C69*$D$100</f>
        <v>6.0932860543360015</v>
      </c>
      <c r="E104" s="34">
        <f>IF(E100=0,0,IF(E95=1,'Input data'!$C$58*(E100-D100*E43/((1+E24/100)*(1+E42/100))),0))</f>
        <v>8.5464808631096361</v>
      </c>
      <c r="F104" s="34">
        <f>IF(F100=0,0,IF(F95=1,'Input data'!$C$58*(F100-E100*F43/((1+F24/100)*(1+F42/100))),0))</f>
        <v>5.0102104556098732</v>
      </c>
      <c r="G104" s="34">
        <f>IF(G100=0,0,IF(G95=1,'Input data'!$C$58*(G100-F100*G43/((1+G24/100)*(1+G42/100))),0))</f>
        <v>3.8270233478064206</v>
      </c>
      <c r="H104" s="34">
        <f>IF(H100=0,0,IF(H95=1,'Input data'!$C$58*(H100-G100*H43/((1+H24/100)*(1+H42/100))),0))</f>
        <v>3.1752761146254223</v>
      </c>
      <c r="I104" s="34">
        <f>IF(I100=0,0,IF(I95=1,'Input data'!$C$58*(I100-H100*I43/((1+I24/100)*(1+I42/100))),0))</f>
        <v>2.6313572055557386</v>
      </c>
      <c r="J104" s="34">
        <f>IF(J100=0,0,IF(J95=1,'Input data'!$C$58*(J100-I100*J43/((1+J24/100)*(1+J42/100))),0))</f>
        <v>2.0313165295520519</v>
      </c>
      <c r="K104" s="34">
        <f>IF(K100=0,0,IF(K95=1,'Input data'!$C$58*(K100-J100*K43/((1+K24/100)*(1+K42/100))),0))</f>
        <v>1.783803263185773</v>
      </c>
      <c r="L104" s="34">
        <f>IF(L100=0,0,IF(L95=1,'Input data'!$C$58*(L100-K100*L43/((1+L24/100)*(1+L42/100))),0))</f>
        <v>1.550361269956525</v>
      </c>
      <c r="M104" s="34">
        <f>IF(M100=0,0,IF(M95=1,'Input data'!$C$58*(M100-L100*M43/((1+M24/100)*(1+M42/100))),0))</f>
        <v>1.3396495960071115</v>
      </c>
      <c r="N104" s="34">
        <f>IF(N100=0,0,IF(N95=1,'Input data'!$C$58*(N100-M100*N43/((1+N24/100)*(1+N42/100))),0))</f>
        <v>1.3401610460505429</v>
      </c>
      <c r="O104" s="34">
        <f>IF(O100=0,0,IF(O95=1,'Input data'!$C$58*(O100-N100*O43/((1+O24/100)*(1+O42/100))),0))</f>
        <v>1.3705370734080791</v>
      </c>
      <c r="P104" s="34">
        <f>IF(P100=0,0,IF(P95=1,'Input data'!$C$58*(P100-O100*P43/((1+P24/100)*(1+P42/100))),0))</f>
        <v>1.4226296567421823</v>
      </c>
      <c r="Q104" s="34">
        <f>IF(Q100=0,0,IF(Q95=1,'Input data'!$C$58*(Q100-P100*Q43/((1+Q24/100)*(1+Q42/100))),0))</f>
        <v>1.5105826326854546</v>
      </c>
      <c r="R104" s="34">
        <f>IF(R100=0,0,IF(R95=1,'Input data'!$C$58*(R100-Q100*R43/((1+R24/100)*(1+R42/100))),0))</f>
        <v>1.6299292958216118</v>
      </c>
      <c r="S104" s="34">
        <f>IF(S100=0,0,IF(S95=1,'Input data'!$C$58*(S100-R100*S43/((1+S24/100)*(1+S42/100))),0))</f>
        <v>1.761695538839257</v>
      </c>
      <c r="T104" s="34">
        <f>IF(T100=0,0,IF(T95=1,'Input data'!$C$58*(T100-S100*T43/((1+T24/100)*(1+T42/100))),0))</f>
        <v>1.9081933075624731</v>
      </c>
      <c r="U104" s="34">
        <f>IF(U100=0,0,IF(U95=1,'Input data'!$C$58*(U100-T100*U43/((1+U24/100)*(1+U42/100))),0))</f>
        <v>2.0764483490102266</v>
      </c>
      <c r="V104" s="34">
        <f>IF(V100=0,0,IF(V95=1,'Input data'!$C$58*(V100-U100*V43/((1+V24/100)*(1+V42/100))),0))</f>
        <v>2.2674972747201476</v>
      </c>
      <c r="W104" s="34">
        <f>IF(W100=0,0,IF(W95=1,'Input data'!$C$58*(W100-V100*W43/((1+W24/100)*(1+W42/100))),0))</f>
        <v>2.4908657246989847</v>
      </c>
    </row>
    <row r="105" spans="2:23" x14ac:dyDescent="0.2">
      <c r="B105" s="107" t="s">
        <v>131</v>
      </c>
      <c r="C105" s="49"/>
      <c r="D105" s="255">
        <f>'Input data'!C70*$D$100</f>
        <v>0.38030214097798132</v>
      </c>
      <c r="E105" s="49">
        <f>IF(E100=0,0,IF(E95=1,'Input data'!$C$57*(E100-D100*E43/((1+E24/100)*(1+E42/100))),0))</f>
        <v>0.58951668669685331</v>
      </c>
      <c r="F105" s="49">
        <f>IF(F100=0,0,IF(F95=1,'Input data'!$C$57*(F100-E100*F43/((1+F24/100)*(1+F42/100))),0))</f>
        <v>0.34559284865354467</v>
      </c>
      <c r="G105" s="49">
        <f>IF(G100=0,0,IF(G95=1,'Input data'!$C$57*(G100-F100*G43/((1+G24/100)*(1+G42/100))),0))</f>
        <v>0.26397931032041894</v>
      </c>
      <c r="H105" s="49">
        <f>IF(H100=0,0,IF(H95=1,'Input data'!$C$57*(H100-G100*H43/((1+H24/100)*(1+H42/100))),0))</f>
        <v>0.21902327805137731</v>
      </c>
      <c r="I105" s="49">
        <f>IF(I100=0,0,IF(I95=1,'Input data'!$C$57*(I100-H100*I43/((1+I24/100)*(1+I42/100))),0))</f>
        <v>0.18150499675613799</v>
      </c>
      <c r="J105" s="49">
        <f>IF(J100=0,0,IF(J95=1,'Input data'!$C$57*(J100-I100*J43/((1+J24/100)*(1+J42/100))),0))</f>
        <v>0.14011556444278611</v>
      </c>
      <c r="K105" s="49">
        <f>IF(K100=0,0,IF(K95=1,'Input data'!$C$57*(K100-J100*K43/((1+K24/100)*(1+K42/100))),0))</f>
        <v>0.12304266589672022</v>
      </c>
      <c r="L105" s="49">
        <f>IF(L100=0,0,IF(L95=1,'Input data'!$C$57*(L100-K100*L43/((1+L24/100)*(1+L42/100))),0))</f>
        <v>0.10694037156193324</v>
      </c>
      <c r="M105" s="49">
        <f>IF(M100=0,0,IF(M95=1,'Input data'!$C$57*(M100-L100*M43/((1+M24/100)*(1+M42/100))),0))</f>
        <v>9.2405962620448853E-2</v>
      </c>
      <c r="N105" s="49">
        <f>IF(N100=0,0,IF(N95=1,'Input data'!$C$57*(N100-M100*N43/((1+N24/100)*(1+N42/100))),0))</f>
        <v>9.2441241273714919E-2</v>
      </c>
      <c r="O105" s="49">
        <f>IF(O100=0,0,IF(O95=1,'Input data'!$C$57*(O100-N100*O43/((1+O24/100)*(1+O42/100))),0))</f>
        <v>9.4536510108882255E-2</v>
      </c>
      <c r="P105" s="49">
        <f>IF(P100=0,0,IF(P95=1,'Input data'!$C$57*(P100-O100*P43/((1+P24/100)*(1+P42/100))),0))</f>
        <v>9.8129737265238007E-2</v>
      </c>
      <c r="Q105" s="49">
        <f>IF(Q100=0,0,IF(Q95=1,'Input data'!$C$57*(Q100-P100*Q43/((1+Q24/100)*(1+Q42/100))),0))</f>
        <v>0.10419653221788479</v>
      </c>
      <c r="R105" s="49">
        <f>IF(R100=0,0,IF(R95=1,'Input data'!$C$57*(R100-Q100*R43/((1+R24/100)*(1+R42/100))),0))</f>
        <v>0.11242879185167674</v>
      </c>
      <c r="S105" s="49">
        <f>IF(S100=0,0,IF(S95=1,'Input data'!$C$57*(S100-R100*S43/((1+S24/100)*(1+S42/100))),0))</f>
        <v>0.12151772567677295</v>
      </c>
      <c r="T105" s="49">
        <f>IF(T100=0,0,IF(T95=1,'Input data'!$C$57*(T100-S100*T43/((1+T24/100)*(1+T42/100))),0))</f>
        <v>0.13162280642398111</v>
      </c>
      <c r="U105" s="49">
        <f>IF(U100=0,0,IF(U95=1,'Input data'!$C$57*(U100-T100*U43/((1+U24/100)*(1+U42/100))),0))</f>
        <v>0.1432286540404504</v>
      </c>
      <c r="V105" s="49">
        <f>IF(V100=0,0,IF(V95=1,'Input data'!$C$57*(V100-U100*V43/((1+V24/100)*(1+V42/100))),0))</f>
        <v>0.15640677161720082</v>
      </c>
      <c r="W105" s="49">
        <f>IF(W100=0,0,IF(W95=1,'Input data'!$C$57*(W100-V100*W43/((1+W24/100)*(1+W42/100))),0))</f>
        <v>0.17181421599732247</v>
      </c>
    </row>
    <row r="106" spans="2:23" x14ac:dyDescent="0.2">
      <c r="B106" s="26" t="s">
        <v>73</v>
      </c>
      <c r="C106" s="36"/>
      <c r="D106" s="260">
        <f>'Baseline NFPC'!$D$93</f>
        <v>5.8746799929838001E-2</v>
      </c>
      <c r="E106" s="36">
        <f t="shared" ref="E106:G106" si="49">IF(E100&lt;&gt;0,(E103+E105)/(E101+E102+E103+E104+E105),0)</f>
        <v>5.9465050877674841E-2</v>
      </c>
      <c r="F106" s="36">
        <f t="shared" si="49"/>
        <v>5.9829978531755049E-2</v>
      </c>
      <c r="G106" s="36">
        <f t="shared" si="49"/>
        <v>6.009014929235542E-2</v>
      </c>
      <c r="H106" s="36">
        <f t="shared" ref="H106:W106" si="50">IF(H100&lt;&gt;0,(H103+H105)/(H101+H102+H103+H104+H105),0)</f>
        <v>6.0296032148354238E-2</v>
      </c>
      <c r="I106" s="36">
        <f t="shared" si="50"/>
        <v>6.0461327682602053E-2</v>
      </c>
      <c r="J106" s="36">
        <f t="shared" si="50"/>
        <v>6.05868103430343E-2</v>
      </c>
      <c r="K106" s="36">
        <f t="shared" si="50"/>
        <v>6.0696938316451489E-2</v>
      </c>
      <c r="L106" s="36">
        <f t="shared" si="50"/>
        <v>6.0793100470598306E-2</v>
      </c>
      <c r="M106" s="36">
        <f t="shared" si="50"/>
        <v>6.0876961192138826E-2</v>
      </c>
      <c r="N106" s="36">
        <f t="shared" si="50"/>
        <v>6.0961276026584091E-2</v>
      </c>
      <c r="O106" s="36">
        <f t="shared" si="50"/>
        <v>6.1047703681535934E-2</v>
      </c>
      <c r="P106" s="36">
        <f t="shared" si="50"/>
        <v>6.1137338598731286E-2</v>
      </c>
      <c r="Q106" s="36">
        <f t="shared" si="50"/>
        <v>6.123202743308833E-2</v>
      </c>
      <c r="R106" s="36">
        <f t="shared" si="50"/>
        <v>6.1333112840037743E-2</v>
      </c>
      <c r="S106" s="36">
        <f t="shared" si="50"/>
        <v>6.1440556795913384E-2</v>
      </c>
      <c r="T106" s="36">
        <f t="shared" si="50"/>
        <v>6.1554207199274416E-2</v>
      </c>
      <c r="U106" s="36">
        <f>IF(U100&lt;&gt;0,(U103+U105)/(U101+U102+U103+U104+U105),0)</f>
        <v>6.16740680166315E-2</v>
      </c>
      <c r="V106" s="36">
        <f t="shared" si="50"/>
        <v>6.1799908835396419E-2</v>
      </c>
      <c r="W106" s="34">
        <f t="shared" si="50"/>
        <v>6.1931670728818007E-2</v>
      </c>
    </row>
    <row r="107" spans="2:23" x14ac:dyDescent="0.2">
      <c r="B107" s="35" t="s">
        <v>74</v>
      </c>
      <c r="C107" s="108"/>
      <c r="D107" s="261">
        <f>'Baseline NFPC'!$D$94</f>
        <v>0.941253200070162</v>
      </c>
      <c r="E107" s="108">
        <f t="shared" ref="E107:G107" si="51">IF(E100&lt;&gt;0,(E101+E102+E104)/(E101+E102+E103+E104+E105),1)</f>
        <v>0.94053494912232516</v>
      </c>
      <c r="F107" s="108">
        <f t="shared" si="51"/>
        <v>0.94017002146824513</v>
      </c>
      <c r="G107" s="108">
        <f t="shared" si="51"/>
        <v>0.93990985070764443</v>
      </c>
      <c r="H107" s="108">
        <f t="shared" ref="H107:W107" si="52">IF(H100&lt;&gt;0,(H101+H102+H104)/(H101+H102+H103+H104+H105),1)</f>
        <v>0.93970396785164567</v>
      </c>
      <c r="I107" s="108">
        <f t="shared" si="52"/>
        <v>0.93953867231739796</v>
      </c>
      <c r="J107" s="108">
        <f t="shared" si="52"/>
        <v>0.93941318965696574</v>
      </c>
      <c r="K107" s="108">
        <f t="shared" si="52"/>
        <v>0.93930306168354849</v>
      </c>
      <c r="L107" s="108">
        <f t="shared" si="52"/>
        <v>0.93920689952940173</v>
      </c>
      <c r="M107" s="108">
        <f t="shared" si="52"/>
        <v>0.93912303880786119</v>
      </c>
      <c r="N107" s="108">
        <f t="shared" si="52"/>
        <v>0.93903872397341581</v>
      </c>
      <c r="O107" s="108">
        <f t="shared" si="52"/>
        <v>0.938952296318464</v>
      </c>
      <c r="P107" s="108">
        <f t="shared" si="52"/>
        <v>0.93886266140126862</v>
      </c>
      <c r="Q107" s="108">
        <f t="shared" si="52"/>
        <v>0.93876797256691169</v>
      </c>
      <c r="R107" s="108">
        <f t="shared" si="52"/>
        <v>0.93866688715996227</v>
      </c>
      <c r="S107" s="108">
        <f t="shared" si="52"/>
        <v>0.93855944320408657</v>
      </c>
      <c r="T107" s="108">
        <f t="shared" si="52"/>
        <v>0.93844579280072549</v>
      </c>
      <c r="U107" s="108">
        <f t="shared" si="52"/>
        <v>0.93832593198336856</v>
      </c>
      <c r="V107" s="108">
        <f t="shared" si="52"/>
        <v>0.93820009116460357</v>
      </c>
      <c r="W107" s="49">
        <f t="shared" si="52"/>
        <v>0.938068329271182</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3.2392629999999998</v>
      </c>
      <c r="D109" s="115">
        <f>'Baseline NFPC'!D96</f>
        <v>4.4184200000000002</v>
      </c>
      <c r="E109" s="115">
        <f>'Baseline NFPC'!E96</f>
        <v>7.2293640000000003</v>
      </c>
      <c r="F109" s="115">
        <f>'Baseline NFPC'!F96</f>
        <v>7.2143069999999998</v>
      </c>
      <c r="G109" s="115">
        <f>'Baseline NFPC'!G96</f>
        <v>5.985741</v>
      </c>
      <c r="H109" s="115">
        <f>H111</f>
        <v>6.1006442626004187</v>
      </c>
      <c r="I109" s="115">
        <f t="shared" ref="I109:V109" si="53">I111</f>
        <v>6.1883468017334327</v>
      </c>
      <c r="J109" s="115">
        <f t="shared" si="53"/>
        <v>6.2553067442008849</v>
      </c>
      <c r="K109" s="115">
        <f t="shared" si="53"/>
        <v>6.3049549272222096</v>
      </c>
      <c r="L109" s="115">
        <f t="shared" si="53"/>
        <v>6.3425560164202812</v>
      </c>
      <c r="M109" s="115">
        <f t="shared" si="53"/>
        <v>6.3696613556191437</v>
      </c>
      <c r="N109" s="115">
        <f t="shared" si="53"/>
        <v>6.3876199729912395</v>
      </c>
      <c r="O109" s="115">
        <f t="shared" si="53"/>
        <v>6.3979038366394372</v>
      </c>
      <c r="P109" s="115">
        <f t="shared" si="53"/>
        <v>6.390278985841106</v>
      </c>
      <c r="Q109" s="115">
        <f t="shared" si="53"/>
        <v>6.3750030271510161</v>
      </c>
      <c r="R109" s="115">
        <f t="shared" si="53"/>
        <v>6.3525864496956164</v>
      </c>
      <c r="S109" s="115">
        <f t="shared" si="53"/>
        <v>6.3234206340670367</v>
      </c>
      <c r="T109" s="115">
        <f t="shared" si="53"/>
        <v>6.287884200570252</v>
      </c>
      <c r="U109" s="115">
        <f t="shared" si="53"/>
        <v>6.2463352685627429</v>
      </c>
      <c r="V109" s="115">
        <f t="shared" si="53"/>
        <v>6.199090271244744</v>
      </c>
      <c r="W109" s="115">
        <f>W111</f>
        <v>6.146456615898666</v>
      </c>
    </row>
    <row r="110" spans="2:23" x14ac:dyDescent="0.2">
      <c r="B110" s="33" t="s">
        <v>133</v>
      </c>
      <c r="C110" s="34"/>
      <c r="D110" s="34"/>
      <c r="E110" s="266">
        <f>((E36*D100)-(E38*(D103+D105)))/(D101+D102+D104)</f>
        <v>6.6838324052938667</v>
      </c>
      <c r="F110" s="266">
        <f>((F36*E100)-(F38*(E103+E105)))/(E101+E102+E104)</f>
        <v>7.2001830420087387</v>
      </c>
      <c r="G110" s="266">
        <f>((G36*F100)-(G38*(F103+F105)))/(F101+F102+F104)</f>
        <v>5.9561921810339973</v>
      </c>
      <c r="H110" s="34">
        <f t="shared" ref="H110:W110" si="54">IF(G100&gt;0,(G110*G101+H37*(G104+G102))/(G101+G102+G104),H37)</f>
        <v>6.0800000387567961</v>
      </c>
      <c r="I110" s="34">
        <f t="shared" si="54"/>
        <v>6.1749562434446572</v>
      </c>
      <c r="J110" s="34">
        <f t="shared" si="54"/>
        <v>6.2478926046440657</v>
      </c>
      <c r="K110" s="34">
        <f t="shared" si="54"/>
        <v>6.3024366774977283</v>
      </c>
      <c r="L110" s="34">
        <f t="shared" si="54"/>
        <v>6.3441761965505448</v>
      </c>
      <c r="M110" s="34">
        <f t="shared" si="54"/>
        <v>6.374755190704545</v>
      </c>
      <c r="N110" s="34">
        <f t="shared" si="54"/>
        <v>6.3956043907183409</v>
      </c>
      <c r="O110" s="34">
        <f t="shared" si="54"/>
        <v>6.4082891476638268</v>
      </c>
      <c r="P110" s="34">
        <f t="shared" si="54"/>
        <v>6.4123356525920459</v>
      </c>
      <c r="Q110" s="34">
        <f t="shared" si="54"/>
        <v>6.4082698621893863</v>
      </c>
      <c r="R110" s="34">
        <f t="shared" si="54"/>
        <v>6.396636526953273</v>
      </c>
      <c r="S110" s="34">
        <f t="shared" si="54"/>
        <v>6.3778544102027075</v>
      </c>
      <c r="T110" s="34">
        <f t="shared" si="54"/>
        <v>6.3523280026664573</v>
      </c>
      <c r="U110" s="34">
        <f t="shared" si="54"/>
        <v>6.3204396819354596</v>
      </c>
      <c r="V110" s="34">
        <f t="shared" si="54"/>
        <v>6.282527449553359</v>
      </c>
      <c r="W110" s="34">
        <f t="shared" si="54"/>
        <v>6.2389192444060102</v>
      </c>
    </row>
    <row r="111" spans="2:23" x14ac:dyDescent="0.2">
      <c r="B111" s="35" t="s">
        <v>63</v>
      </c>
      <c r="C111" s="49"/>
      <c r="D111" s="49"/>
      <c r="E111" s="49">
        <f t="shared" ref="E111:W111" si="55">(E110*(D101+D102+D104)+E38*(D103+D105))/D100</f>
        <v>7.2293640000000012</v>
      </c>
      <c r="F111" s="49">
        <f t="shared" si="55"/>
        <v>7.2143069999999998</v>
      </c>
      <c r="G111" s="49">
        <f t="shared" si="55"/>
        <v>5.9857409999999991</v>
      </c>
      <c r="H111" s="49">
        <f t="shared" si="55"/>
        <v>6.1006442626004187</v>
      </c>
      <c r="I111" s="49">
        <f t="shared" si="55"/>
        <v>6.1883468017334327</v>
      </c>
      <c r="J111" s="49">
        <f t="shared" si="55"/>
        <v>6.2553067442008849</v>
      </c>
      <c r="K111" s="49">
        <f t="shared" si="55"/>
        <v>6.3049549272222096</v>
      </c>
      <c r="L111" s="49">
        <f t="shared" si="55"/>
        <v>6.3425560164202812</v>
      </c>
      <c r="M111" s="49">
        <f t="shared" si="55"/>
        <v>6.3696613556191437</v>
      </c>
      <c r="N111" s="49">
        <f t="shared" si="55"/>
        <v>6.3876199729912395</v>
      </c>
      <c r="O111" s="49">
        <f t="shared" si="55"/>
        <v>6.3979038366394372</v>
      </c>
      <c r="P111" s="49">
        <f t="shared" si="55"/>
        <v>6.390278985841106</v>
      </c>
      <c r="Q111" s="49">
        <f t="shared" si="55"/>
        <v>6.3750030271510161</v>
      </c>
      <c r="R111" s="49">
        <f t="shared" si="55"/>
        <v>6.3525864496956164</v>
      </c>
      <c r="S111" s="49">
        <f t="shared" si="55"/>
        <v>6.3234206340670367</v>
      </c>
      <c r="T111" s="49">
        <f t="shared" si="55"/>
        <v>6.287884200570252</v>
      </c>
      <c r="U111" s="49">
        <f t="shared" si="55"/>
        <v>6.2463352685627429</v>
      </c>
      <c r="V111" s="49">
        <f t="shared" si="55"/>
        <v>6.199090271244744</v>
      </c>
      <c r="W111" s="49">
        <f t="shared" si="55"/>
        <v>6.146456615898666</v>
      </c>
    </row>
    <row r="112" spans="2:23" x14ac:dyDescent="0.2">
      <c r="C112" s="38"/>
      <c r="D112" s="38"/>
      <c r="E112" s="38"/>
      <c r="F112" s="38"/>
      <c r="G112" s="34"/>
      <c r="H112" s="34"/>
      <c r="I112" s="34"/>
      <c r="J112" s="34"/>
      <c r="K112" s="34"/>
      <c r="L112" s="34"/>
      <c r="M112" s="34"/>
      <c r="N112" s="34"/>
      <c r="O112" s="34"/>
      <c r="P112" s="34"/>
      <c r="Q112" s="34"/>
      <c r="R112" s="34"/>
      <c r="S112" s="34"/>
      <c r="T112" s="34"/>
      <c r="U112" s="34"/>
      <c r="V112" s="34"/>
      <c r="W112" s="34"/>
    </row>
    <row r="113" spans="2:25" x14ac:dyDescent="0.2">
      <c r="B113" s="113" t="s">
        <v>186</v>
      </c>
      <c r="C113" s="115">
        <f t="shared" ref="C113:W113" si="56">((1+C109/100)/((1+C24/100)*(1+C42/100))-1)*100</f>
        <v>-9.4036063835330364</v>
      </c>
      <c r="D113" s="115">
        <f t="shared" si="56"/>
        <v>-12.59645324791714</v>
      </c>
      <c r="E113" s="115">
        <f t="shared" si="56"/>
        <v>-5.6971512852683421</v>
      </c>
      <c r="F113" s="115">
        <f t="shared" si="56"/>
        <v>-0.58471536016967418</v>
      </c>
      <c r="G113" s="115">
        <f t="shared" si="56"/>
        <v>-0.65999390843156647</v>
      </c>
      <c r="H113" s="115">
        <f t="shared" si="56"/>
        <v>0.20556737539796366</v>
      </c>
      <c r="I113" s="115">
        <f t="shared" si="56"/>
        <v>0.43613775263522392</v>
      </c>
      <c r="J113" s="115">
        <f t="shared" si="56"/>
        <v>0.62403149355139131</v>
      </c>
      <c r="K113" s="115">
        <f t="shared" si="56"/>
        <v>0.20306619350107802</v>
      </c>
      <c r="L113" s="115">
        <f t="shared" si="56"/>
        <v>0.30689762603177684</v>
      </c>
      <c r="M113" s="115">
        <f t="shared" si="56"/>
        <v>0.44128660737339231</v>
      </c>
      <c r="N113" s="115">
        <f t="shared" si="56"/>
        <v>1.0870365691084682</v>
      </c>
      <c r="O113" s="115">
        <f t="shared" si="56"/>
        <v>1.183779924734929</v>
      </c>
      <c r="P113" s="115">
        <f t="shared" si="56"/>
        <v>1.2245506136250972</v>
      </c>
      <c r="Q113" s="115">
        <f t="shared" si="56"/>
        <v>1.2580722519846876</v>
      </c>
      <c r="R113" s="115">
        <f t="shared" si="56"/>
        <v>1.2848107150453814</v>
      </c>
      <c r="S113" s="115">
        <f t="shared" si="56"/>
        <v>1.2749898840014762</v>
      </c>
      <c r="T113" s="115">
        <f t="shared" si="56"/>
        <v>1.3046390558271614</v>
      </c>
      <c r="U113" s="115">
        <f t="shared" si="56"/>
        <v>1.3298254108367047</v>
      </c>
      <c r="V113" s="115">
        <f t="shared" si="56"/>
        <v>1.3291781750723652</v>
      </c>
      <c r="W113" s="115">
        <f t="shared" si="56"/>
        <v>1.3068419483974303</v>
      </c>
    </row>
    <row r="114" spans="2:25" x14ac:dyDescent="0.2">
      <c r="F114" s="34"/>
      <c r="G114" s="34"/>
      <c r="H114" s="34"/>
      <c r="I114" s="34"/>
      <c r="J114" s="34"/>
      <c r="K114" s="34"/>
      <c r="L114" s="34"/>
      <c r="M114" s="34"/>
      <c r="N114" s="34"/>
      <c r="O114" s="34"/>
      <c r="P114" s="34"/>
      <c r="Q114" s="34"/>
      <c r="R114" s="34"/>
      <c r="S114" s="34"/>
      <c r="T114" s="34"/>
      <c r="U114" s="34"/>
      <c r="V114" s="34"/>
      <c r="W114" s="34"/>
    </row>
    <row r="115" spans="2:25" x14ac:dyDescent="0.2">
      <c r="F115" s="34"/>
      <c r="G115" s="34"/>
      <c r="H115" s="253"/>
      <c r="I115" s="253"/>
      <c r="J115" s="253"/>
      <c r="K115" s="253"/>
      <c r="L115" s="253"/>
      <c r="M115" s="253"/>
      <c r="N115" s="253"/>
      <c r="O115" s="253"/>
      <c r="P115" s="253"/>
      <c r="Q115" s="253"/>
      <c r="R115" s="253"/>
      <c r="S115" s="253"/>
      <c r="T115" s="253"/>
      <c r="U115" s="34"/>
      <c r="V115" s="34"/>
      <c r="W115" s="34"/>
    </row>
    <row r="116" spans="2:25" x14ac:dyDescent="0.2">
      <c r="T116" s="62"/>
      <c r="U116" s="62"/>
      <c r="V116" s="62"/>
      <c r="W116" s="62"/>
      <c r="X116" s="62"/>
      <c r="Y116" s="62"/>
    </row>
    <row r="117" spans="2:25" x14ac:dyDescent="0.2">
      <c r="T117" s="62"/>
      <c r="U117" s="116"/>
      <c r="V117" s="116"/>
      <c r="W117" s="116"/>
      <c r="X117" s="116"/>
      <c r="Y117" s="62"/>
    </row>
    <row r="118" spans="2:25" x14ac:dyDescent="0.2">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3" spans="2:25"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row>
    <row r="125" spans="2:25" x14ac:dyDescent="0.2">
      <c r="G125" s="53"/>
      <c r="H125" s="53"/>
      <c r="I125" s="53"/>
      <c r="J125" s="53"/>
      <c r="K125" s="53"/>
      <c r="L125" s="53"/>
      <c r="M125" s="53"/>
      <c r="N125" s="53"/>
      <c r="O125" s="53"/>
      <c r="P125" s="53"/>
      <c r="Q125" s="53"/>
      <c r="R125" s="53"/>
      <c r="S125" s="53"/>
      <c r="T125" s="53"/>
      <c r="U125" s="53"/>
      <c r="V125" s="53"/>
      <c r="W125" s="53"/>
      <c r="X125" s="53"/>
    </row>
    <row r="126" spans="2:25" x14ac:dyDescent="0.2">
      <c r="E126" s="34"/>
      <c r="F126" s="34"/>
      <c r="G126" s="121"/>
      <c r="H126" s="121"/>
      <c r="I126" s="121"/>
      <c r="J126" s="121"/>
      <c r="K126" s="121"/>
      <c r="L126" s="121"/>
      <c r="M126" s="121"/>
      <c r="N126" s="121"/>
      <c r="O126" s="121"/>
      <c r="P126" s="121"/>
      <c r="Q126" s="121"/>
      <c r="R126" s="121"/>
      <c r="S126" s="121"/>
      <c r="T126" s="121"/>
      <c r="U126" s="121"/>
      <c r="V126" s="121"/>
      <c r="W126" s="121"/>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G128" s="53"/>
      <c r="H128" s="53"/>
      <c r="I128" s="53"/>
      <c r="J128" s="53"/>
      <c r="K128" s="53"/>
      <c r="L128" s="53"/>
      <c r="M128" s="53"/>
      <c r="N128" s="53"/>
      <c r="O128" s="53"/>
      <c r="P128" s="53"/>
      <c r="Q128" s="53"/>
      <c r="R128" s="53"/>
      <c r="S128" s="53"/>
      <c r="T128" s="53"/>
      <c r="U128" s="53"/>
      <c r="V128" s="53"/>
      <c r="W128" s="53"/>
      <c r="X128" s="53"/>
    </row>
    <row r="129" spans="5:24" x14ac:dyDescent="0.2">
      <c r="E129" s="34"/>
      <c r="F129" s="34"/>
      <c r="G129" s="121"/>
      <c r="H129" s="121"/>
      <c r="I129" s="121"/>
      <c r="J129" s="121"/>
      <c r="K129" s="121"/>
      <c r="L129" s="121"/>
      <c r="M129" s="121"/>
      <c r="N129" s="121"/>
      <c r="O129" s="121"/>
      <c r="P129" s="121"/>
      <c r="Q129" s="121"/>
      <c r="R129" s="121"/>
      <c r="S129" s="121"/>
      <c r="T129" s="121"/>
      <c r="U129" s="121"/>
      <c r="V129" s="121"/>
      <c r="W129" s="121"/>
      <c r="X129" s="121"/>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G131" s="121"/>
      <c r="H131" s="121"/>
      <c r="I131" s="121"/>
      <c r="J131" s="121"/>
      <c r="K131" s="121"/>
      <c r="L131" s="121"/>
      <c r="M131" s="121"/>
      <c r="N131" s="121"/>
      <c r="O131" s="121"/>
      <c r="P131" s="121"/>
      <c r="Q131" s="121"/>
      <c r="R131" s="121"/>
      <c r="S131" s="121"/>
      <c r="T131" s="121"/>
      <c r="U131" s="121"/>
      <c r="V131" s="121"/>
      <c r="W131" s="121"/>
      <c r="X131" s="121"/>
    </row>
    <row r="132" spans="5:24" x14ac:dyDescent="0.2">
      <c r="E132" s="34"/>
      <c r="F132" s="34"/>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sheetData>
  <conditionalFormatting sqref="G12:M12">
    <cfRule type="expression" dxfId="37" priority="4">
      <formula>AND(G10&gt;$C$5,G10&lt;=$C$6)</formula>
    </cfRule>
  </conditionalFormatting>
  <conditionalFormatting sqref="U10:W44 U46:W53 U94:W150 U55:W92">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HU</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-4.8520380000000003</v>
      </c>
      <c r="D12" s="2">
        <f>'Input data'!D13</f>
        <v>-4.121645</v>
      </c>
      <c r="E12" s="2">
        <f>'Input data'!E13</f>
        <v>-1.336916</v>
      </c>
      <c r="F12" s="2">
        <f>'Input data'!F13</f>
        <v>3.4885699999999999E-2</v>
      </c>
      <c r="G12" s="3">
        <f>IF(G10&lt;=$C$6,F12+'Criteria results'!$F$6,F12)</f>
        <v>0.69488570000000005</v>
      </c>
      <c r="H12" s="3">
        <f>IF(H10&lt;=$C$6,G12+'Criteria results'!$F$6,G12)</f>
        <v>1.3548857000000001</v>
      </c>
      <c r="I12" s="3">
        <f>IF(I10&lt;=$C$6,H12+'Criteria results'!$F$6,H12)</f>
        <v>2.0148857000000002</v>
      </c>
      <c r="J12" s="3">
        <f>IF(J10&lt;=$C$6,I12+'Criteria results'!$F$6,I12)</f>
        <v>2.6748857000000004</v>
      </c>
      <c r="K12" s="119">
        <f>IF(K10&lt;=$C$6,J12+'Criteria results'!$F$6,J12)</f>
        <v>2.6748857000000004</v>
      </c>
      <c r="L12" s="119">
        <f>IF(L10&lt;=$C$6,K12+'Criteria results'!$F$6,K12)</f>
        <v>2.6748857000000004</v>
      </c>
      <c r="M12" s="119">
        <f>IF(M10&lt;=$C$6,L12+'Criteria results'!$F$6,L12)</f>
        <v>2.6748857000000004</v>
      </c>
      <c r="N12" s="119">
        <f>M12</f>
        <v>2.6748857000000004</v>
      </c>
      <c r="O12" s="119">
        <f t="shared" ref="O12:W12" si="0">N12</f>
        <v>2.6748857000000004</v>
      </c>
      <c r="P12" s="119">
        <f t="shared" si="0"/>
        <v>2.6748857000000004</v>
      </c>
      <c r="Q12" s="119">
        <f t="shared" si="0"/>
        <v>2.6748857000000004</v>
      </c>
      <c r="R12" s="119">
        <f t="shared" si="0"/>
        <v>2.6748857000000004</v>
      </c>
      <c r="S12" s="119">
        <f t="shared" si="0"/>
        <v>2.6748857000000004</v>
      </c>
      <c r="T12" s="119">
        <f t="shared" si="0"/>
        <v>2.6748857000000004</v>
      </c>
      <c r="U12" s="119">
        <f t="shared" si="0"/>
        <v>2.6748857000000004</v>
      </c>
      <c r="V12" s="119">
        <f t="shared" si="0"/>
        <v>2.6748857000000004</v>
      </c>
      <c r="W12" s="119">
        <f t="shared" si="0"/>
        <v>2.6748857000000004</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0.66</v>
      </c>
      <c r="H13" s="263">
        <f t="shared" ref="H13:W13" si="1">H12-G12</f>
        <v>0.66</v>
      </c>
      <c r="I13" s="263">
        <f t="shared" si="1"/>
        <v>0.66000000000000014</v>
      </c>
      <c r="J13" s="263">
        <f t="shared" si="1"/>
        <v>0.66000000000000014</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-0.1086859</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-0.1919507</v>
      </c>
      <c r="D15" s="2">
        <f>'Input data'!D15</f>
        <v>9.56404E-2</v>
      </c>
      <c r="E15" s="2">
        <f>'Input data'!E15</f>
        <v>2.4978720000000001</v>
      </c>
      <c r="F15" s="2">
        <f>'Input data'!F15</f>
        <v>-0.13437760000000001</v>
      </c>
      <c r="G15" s="2">
        <f>'Input data'!G15</f>
        <v>0.1957401</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16.0166</v>
      </c>
      <c r="E18" s="101">
        <f>'Input data'!E20</f>
        <v>16.121750000000002</v>
      </c>
      <c r="F18" s="101">
        <f>'Input data'!F20</f>
        <v>16.128519999999998</v>
      </c>
      <c r="G18" s="101">
        <f>'Input data'!G20</f>
        <v>16.013810000000003</v>
      </c>
      <c r="H18" s="101">
        <f>'Input data'!H20</f>
        <v>15.929929999999999</v>
      </c>
      <c r="I18" s="101">
        <f>'Input data'!I20</f>
        <v>15.87402</v>
      </c>
      <c r="J18" s="101">
        <f>'Input data'!J20</f>
        <v>15.87527</v>
      </c>
      <c r="K18" s="101">
        <f>'Input data'!K20</f>
        <v>15.887590000000001</v>
      </c>
      <c r="L18" s="101">
        <f>'Input data'!L20</f>
        <v>15.930810000000001</v>
      </c>
      <c r="M18" s="101">
        <f>'Input data'!M20</f>
        <v>16.00994</v>
      </c>
      <c r="N18" s="101">
        <f>'Input data'!N20</f>
        <v>16.10998</v>
      </c>
      <c r="O18" s="101">
        <f>'Input data'!O20</f>
        <v>16.238250000000001</v>
      </c>
      <c r="P18" s="101">
        <f>'Input data'!P20</f>
        <v>16.391590000000001</v>
      </c>
      <c r="Q18" s="101">
        <f>'Input data'!Q20</f>
        <v>16.5777</v>
      </c>
      <c r="R18" s="101">
        <f>'Input data'!R20</f>
        <v>16.78951</v>
      </c>
      <c r="S18" s="101">
        <f>'Input data'!S20</f>
        <v>17.006</v>
      </c>
      <c r="T18" s="101">
        <f>'Input data'!T20</f>
        <v>17.227679999999999</v>
      </c>
      <c r="U18" s="101">
        <f>'Input data'!U20</f>
        <v>17.461649999999999</v>
      </c>
      <c r="V18" s="101">
        <f>'Input data'!V20</f>
        <v>17.708970000000001</v>
      </c>
      <c r="W18" s="101">
        <f>'Input data'!W20</f>
        <v>17.97964</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0.53881259999999997</v>
      </c>
      <c r="D19" s="101">
        <f>'Input data'!D26</f>
        <v>1.182669</v>
      </c>
      <c r="E19" s="101">
        <f>'Input data'!E26</f>
        <v>1.1819139999999999</v>
      </c>
      <c r="F19" s="101">
        <f>'Input data'!F26</f>
        <v>1.18116</v>
      </c>
      <c r="G19" s="101">
        <f>'Input data'!G26</f>
        <v>1.1804049999999999</v>
      </c>
      <c r="H19" s="101">
        <f>'Input data'!H26</f>
        <v>1.179651</v>
      </c>
      <c r="I19" s="101">
        <f>'Input data'!I26</f>
        <v>1.1788959999999999</v>
      </c>
      <c r="J19" s="101">
        <f>'Input data'!J26</f>
        <v>1.178142</v>
      </c>
      <c r="K19" s="101">
        <f>'Input data'!K26</f>
        <v>1.177387</v>
      </c>
      <c r="L19" s="101">
        <f>'Input data'!L26</f>
        <v>1.176633</v>
      </c>
      <c r="M19" s="101">
        <f>'Input data'!M26</f>
        <v>1.175878</v>
      </c>
      <c r="N19" s="101">
        <f>'Input data'!N26</f>
        <v>1.1751240000000001</v>
      </c>
      <c r="O19" s="101">
        <f>'Input data'!O26</f>
        <v>1.1743699999999999</v>
      </c>
      <c r="P19" s="101">
        <f>'Input data'!P26</f>
        <v>1.1736150000000001</v>
      </c>
      <c r="Q19" s="101">
        <f>'Input data'!Q26</f>
        <v>1.1728609999999999</v>
      </c>
      <c r="R19" s="101">
        <f>'Input data'!R26</f>
        <v>1.1721060000000001</v>
      </c>
      <c r="S19" s="101">
        <f>'Input data'!S26</f>
        <v>1.1713519999999999</v>
      </c>
      <c r="T19" s="101">
        <f>'Input data'!T26</f>
        <v>1.170598</v>
      </c>
      <c r="U19" s="101">
        <f>'Input data'!U26</f>
        <v>1.169843</v>
      </c>
      <c r="V19" s="101">
        <f>'Input data'!V26</f>
        <v>1.169089</v>
      </c>
      <c r="W19" s="101">
        <f>'Input data'!W26</f>
        <v>1.168334</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42098.46</v>
      </c>
      <c r="D23" s="100">
        <f>'Baseline NFPC'!D22</f>
        <v>44028.004183516801</v>
      </c>
      <c r="E23" s="100">
        <f>'Baseline NFPC'!E22</f>
        <v>43628.368197491611</v>
      </c>
      <c r="F23" s="100">
        <f>'Baseline NFPC'!F22</f>
        <v>44682.719701791517</v>
      </c>
      <c r="G23" s="34">
        <f>IF(AND(G50&gt;1,F50&gt;1),IF(AND(G50&gt;0,F50&gt;0),G27*(G51/100+1),0)+IF(G50&gt;0,F23*(1+G52/100),0)-F23*(1+'Input data'!G30/100),IF(G50=1,G27,F23*(1+G52/100)))</f>
        <v>45926.73934389864</v>
      </c>
      <c r="H23" s="34">
        <f>IF(AND(H50&gt;1,G50&gt;1),IF(AND(H50&gt;0,G50&gt;0),H27*(H51/100+1),0)+IF(H50&gt;0,G23*(1+H52/100),0)-G23*(1+'Input data'!H30/100),IF(H50=1,H27,G23*(1+H52/100)))</f>
        <v>46881.6837183139</v>
      </c>
      <c r="I23" s="34">
        <f>IF(AND(I50&gt;1,H50&gt;1),IF(AND(I50&gt;0,H50&gt;0),I27*(I51/100+1),0)+IF(I50&gt;0,H23*(1+I52/100),0)-H23*(1+'Input data'!I30/100),IF(I50=1,I27,H23*(1+I52/100)))</f>
        <v>47820.086444207474</v>
      </c>
      <c r="J23" s="34">
        <f>IF(AND(J50&gt;1,I50&gt;1),IF(AND(J50&gt;0,I50&gt;0),J27*(J51/100+1),0)+IF(J50&gt;0,I23*(1+J52/100),0)-I23*(1+'Input data'!J30/100),IF(J50=1,J27,I23*(1+J52/100)))</f>
        <v>48751.577760948043</v>
      </c>
      <c r="K23" s="34">
        <f>IF(AND(K50&gt;1,J50&gt;1),IF(AND(K50&gt;0,J50&gt;0),K27*(K51/100+1),0)+IF(K50&gt;0,J23*(1+K52/100),0)-J23*(1+'Input data'!K30/100),IF(K50=1,K27,J23*(1+K52/100)))</f>
        <v>49968.912403741175</v>
      </c>
      <c r="L23" s="34">
        <f>IF(AND(L50&gt;1,K50&gt;1),IF(AND(L50&gt;0,K50&gt;0),L27*(L51/100+1),0)+IF(L50&gt;0,K23*(1+L52/100),0)-K23*(1+'Input data'!L30/100),IF(L50=1,L27,K23*(1+L52/100)))</f>
        <v>51218.217591953115</v>
      </c>
      <c r="M23" s="34">
        <f>IF(AND(M50&gt;1,L50&gt;1),IF(AND(M50&gt;0,L50&gt;0),M27*(M51/100+1),0)+IF(M50&gt;0,L23*(1+M52/100),0)-L23*(1+'Input data'!M30/100),IF(M50=1,M27,L23*(1+M52/100)))</f>
        <v>52479.29612208256</v>
      </c>
      <c r="N23" s="34">
        <f>IF(AND(N50&gt;1,M50&gt;1),IF(AND(N50&gt;0,M50&gt;0),N27*(N51/100+1),0)+IF(N50&gt;0,M23*(1+N52/100),0)-M23*(1+'Input data'!N30/100),IF(N50=1,N27,M23*(1+N52/100)))</f>
        <v>53475.104935409036</v>
      </c>
      <c r="O23" s="34">
        <f>IF(AND(O50&gt;1,N50&gt;1),IF(AND(O50&gt;0,N50&gt;0),O27*(O51/100+1),0)+IF(O50&gt;0,N23*(1+O52/100),0)-N23*(1+'Input data'!O30/100),IF(O50=1,O27,N23*(1+O52/100)))</f>
        <v>54481.874319015391</v>
      </c>
      <c r="P23" s="34">
        <f>IF(AND(P50&gt;1,O50&gt;1),IF(AND(P50&gt;0,O50&gt;0),P27*(P51/100+1),0)+IF(P50&gt;0,O23*(1+P52/100),0)-O23*(1+'Input data'!P30/100),IF(P50=1,P27,O23*(1+P52/100)))</f>
        <v>55486.909626859422</v>
      </c>
      <c r="Q23" s="34">
        <f>IF(AND(Q50&gt;1,P50&gt;1),IF(AND(Q50&gt;0,P50&gt;0),Q27*(Q51/100+1),0)+IF(Q50&gt;0,P23*(1+Q52/100),0)-P23*(1+'Input data'!Q30/100),IF(Q50=1,Q27,P23*(1+Q52/100)))</f>
        <v>56489.413262982642</v>
      </c>
      <c r="R23" s="34">
        <f>IF(AND(R50&gt;1,Q50&gt;1),IF(AND(R50&gt;0,Q50&gt;0),R27*(R51/100+1),0)+IF(R50&gt;0,Q23*(1+R52/100),0)-Q23*(1+'Input data'!R30/100),IF(R50=1,R27,Q23*(1+R52/100)))</f>
        <v>57488.581057954296</v>
      </c>
      <c r="S23" s="34">
        <f>IF(AND(S50&gt;1,R50&gt;1),IF(AND(S50&gt;0,R50&gt;0),S27*(S51/100+1),0)+IF(S50&gt;0,R23*(1+S52/100),0)-R23*(1+'Input data'!S30/100),IF(S50=1,S27,R23*(1+S52/100)))</f>
        <v>58501.002685907144</v>
      </c>
      <c r="T23" s="34">
        <f>IF(AND(T50&gt;1,S50&gt;1),IF(AND(T50&gt;0,S50&gt;0),T27*(T51/100+1),0)+IF(T50&gt;0,S23*(1+T52/100),0)-S23*(1+'Input data'!T30/100),IF(T50=1,T27,S23*(1+T52/100)))</f>
        <v>59499.995058273031</v>
      </c>
      <c r="U23" s="34">
        <f>IF(AND(U50&gt;1,T50&gt;1),IF(AND(U50&gt;0,T50&gt;0),U27*(U51/100+1),0)+IF(U50&gt;0,T23*(1+U52/100),0)-T23*(1+'Input data'!U30/100),IF(U50=1,U27,T23*(1+U52/100)))</f>
        <v>60483.510936587874</v>
      </c>
      <c r="V23" s="34">
        <f>IF(AND(V50&gt;1,U50&gt;1),IF(AND(V50&gt;0,U50&gt;0),V27*(V51/100+1),0)+IF(V50&gt;0,U23*(1+V52/100),0)-U23*(1+'Input data'!V30/100),IF(V50=1,V27,U23*(1+V52/100)))</f>
        <v>61462.593213389868</v>
      </c>
      <c r="W23" s="34">
        <f>IF(AND(W50&gt;1,V50&gt;1),IF(AND(W50&gt;0,V50&gt;0),W27*(W51/100+1),0)+IF(W50&gt;0,V23*(1+W52/100),0)-V23*(1+'Input data'!W30/100),IF(W50=1,W27,V23*(1+W52/100)))</f>
        <v>62446.691075985211</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7.0612209999999997</v>
      </c>
      <c r="D24" s="100">
        <f>'Baseline NFPC'!D23</f>
        <v>4.5834080000000004</v>
      </c>
      <c r="E24" s="100">
        <f>'Baseline NFPC'!E23</f>
        <v>-0.90768590000000005</v>
      </c>
      <c r="F24" s="100">
        <f>'Baseline NFPC'!F23</f>
        <v>2.4166650000000001</v>
      </c>
      <c r="G24" s="34">
        <f t="shared" ref="G24:S24" si="2">100*(G23/F23-1)</f>
        <v>2.7841180000000021</v>
      </c>
      <c r="H24" s="34">
        <f t="shared" si="2"/>
        <v>2.0792775364796734</v>
      </c>
      <c r="I24" s="34">
        <f t="shared" si="2"/>
        <v>2.0016404093588402</v>
      </c>
      <c r="J24" s="34">
        <f t="shared" si="2"/>
        <v>1.9479080570616647</v>
      </c>
      <c r="K24" s="34">
        <f t="shared" si="2"/>
        <v>2.4970158889263017</v>
      </c>
      <c r="L24" s="34">
        <f t="shared" si="2"/>
        <v>2.5001648587380521</v>
      </c>
      <c r="M24" s="34">
        <f t="shared" si="2"/>
        <v>2.4621679344178693</v>
      </c>
      <c r="N24" s="34">
        <f t="shared" si="2"/>
        <v>1.89752700000001</v>
      </c>
      <c r="O24" s="34">
        <f t="shared" si="2"/>
        <v>1.882687999999999</v>
      </c>
      <c r="P24" s="34">
        <f t="shared" si="2"/>
        <v>1.8447150000000079</v>
      </c>
      <c r="Q24" s="34">
        <f t="shared" si="2"/>
        <v>1.8067389999999905</v>
      </c>
      <c r="R24" s="34">
        <f t="shared" si="2"/>
        <v>1.7687699999999973</v>
      </c>
      <c r="S24" s="34">
        <f t="shared" si="2"/>
        <v>1.7610829999999966</v>
      </c>
      <c r="T24" s="34">
        <f>100*(T23/S23-1)</f>
        <v>1.7076499999999939</v>
      </c>
      <c r="U24" s="34">
        <f t="shared" ref="U24:W24" si="3">100*(U23/T23-1)</f>
        <v>1.6529680000000102</v>
      </c>
      <c r="V24" s="34">
        <f t="shared" si="3"/>
        <v>1.6187589999999918</v>
      </c>
      <c r="W24" s="34">
        <f t="shared" si="3"/>
        <v>1.601132999999999</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42044.3</v>
      </c>
      <c r="D27" s="100">
        <f>+C27*(1+'Input data'!D33/100)</f>
        <v>43329.925139640996</v>
      </c>
      <c r="E27" s="100">
        <f>+D27*(1+'Input data'!E33/100)</f>
        <v>44260.154070800636</v>
      </c>
      <c r="F27" s="100">
        <f>+E27*(1+'Input data'!F33/100)</f>
        <v>45233.969964080257</v>
      </c>
      <c r="G27" s="34">
        <f>+F27*(1+'Input data'!G33/100)</f>
        <v>46351.368439873753</v>
      </c>
      <c r="H27" s="34">
        <f>+G27*(1+'Input data'!H33/100)</f>
        <v>47398.502401600002</v>
      </c>
      <c r="I27" s="34">
        <f>+H27*(1+'Input data'!I33/100)</f>
        <v>48404.005699817113</v>
      </c>
      <c r="J27" s="34">
        <f>+I27*(1+'Input data'!J33/100)</f>
        <v>49385.459840588308</v>
      </c>
      <c r="K27" s="34">
        <f>+J27*(1+'Input data'!K33/100)</f>
        <v>50400.183377787478</v>
      </c>
      <c r="L27" s="34">
        <f>+K27*(1+'Input data'!L33/100)</f>
        <v>51438.29460288761</v>
      </c>
      <c r="M27" s="34">
        <f>+L27*(1+'Input data'!M33/100)</f>
        <v>52479.29612208256</v>
      </c>
      <c r="N27" s="34">
        <f>+M27*(1+'Input data'!N33/100)</f>
        <v>53475.104410616063</v>
      </c>
      <c r="O27" s="34">
        <f>+N27*(1+'Input data'!O33/100)</f>
        <v>54481.872180089063</v>
      </c>
      <c r="P27" s="34">
        <f>+O27*(1+'Input data'!P33/100)</f>
        <v>55486.906358838547</v>
      </c>
      <c r="Q27" s="34">
        <f>+P27*(1+'Input data'!Q33/100)</f>
        <v>56489.411045655288</v>
      </c>
      <c r="R27" s="34">
        <f>+Q27*(1+'Input data'!R33/100)</f>
        <v>57488.578236513415</v>
      </c>
      <c r="S27" s="34">
        <f>+R27*(1+'Input data'!S33/100)</f>
        <v>58501.001539435696</v>
      </c>
      <c r="T27" s="34">
        <f>+S27*(1+'Input data'!T33/100)</f>
        <v>59499.993892223865</v>
      </c>
      <c r="U27" s="34">
        <f>+T27*(1+'Input data'!U33/100)</f>
        <v>60483.509156264336</v>
      </c>
      <c r="V27" s="34">
        <f>+U27*(1+'Input data'!V33/100)</f>
        <v>61462.589589741918</v>
      </c>
      <c r="W27" s="34">
        <f>+V27*(1+'Input data'!W33/100)</f>
        <v>62446.686779691947</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0.12881651020471008</v>
      </c>
      <c r="D30" s="100">
        <f t="shared" ref="D30:W30" si="4">100*(D23/D27-1)</f>
        <v>1.6110783520305594</v>
      </c>
      <c r="E30" s="100">
        <f t="shared" si="4"/>
        <v>-1.4274371306940981</v>
      </c>
      <c r="F30" s="100">
        <f t="shared" si="4"/>
        <v>-1.2186643417026688</v>
      </c>
      <c r="G30" s="34">
        <f t="shared" si="4"/>
        <v>-0.91610908214271314</v>
      </c>
      <c r="H30" s="34">
        <f t="shared" si="4"/>
        <v>-1.0903692249750407</v>
      </c>
      <c r="I30" s="34">
        <f t="shared" si="4"/>
        <v>-1.2063449030042639</v>
      </c>
      <c r="J30" s="34">
        <f t="shared" si="4"/>
        <v>-1.2835398955206245</v>
      </c>
      <c r="K30" s="34">
        <f t="shared" si="4"/>
        <v>-0.85569326368041265</v>
      </c>
      <c r="L30" s="34">
        <f t="shared" si="4"/>
        <v>-0.42784663184020078</v>
      </c>
      <c r="M30" s="34">
        <f>100*(M23/M27-1)</f>
        <v>0</v>
      </c>
      <c r="N30" s="34">
        <f t="shared" si="4"/>
        <v>9.8137811210818882E-7</v>
      </c>
      <c r="O30" s="34">
        <f t="shared" si="4"/>
        <v>3.9259413053827075E-6</v>
      </c>
      <c r="P30" s="34">
        <f t="shared" si="4"/>
        <v>5.8897154042725219E-6</v>
      </c>
      <c r="Q30" s="34">
        <f t="shared" si="4"/>
        <v>3.9252088468444413E-6</v>
      </c>
      <c r="R30" s="34">
        <f t="shared" si="4"/>
        <v>4.9078285879744499E-6</v>
      </c>
      <c r="S30" s="34">
        <f t="shared" si="4"/>
        <v>1.9597466982546052E-6</v>
      </c>
      <c r="T30" s="34">
        <f t="shared" si="4"/>
        <v>1.9597466982546052E-6</v>
      </c>
      <c r="U30" s="34">
        <f t="shared" si="4"/>
        <v>2.9434858550558829E-6</v>
      </c>
      <c r="V30" s="34">
        <f t="shared" si="4"/>
        <v>5.8956968418399924E-6</v>
      </c>
      <c r="W30" s="34">
        <f t="shared" si="4"/>
        <v>6.8799378860617821E-6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13.955157461405875</v>
      </c>
      <c r="D33" s="2">
        <f t="shared" si="5"/>
        <v>19.467028376067198</v>
      </c>
      <c r="E33" s="2">
        <f t="shared" si="5"/>
        <v>13.707449415840411</v>
      </c>
      <c r="F33" s="2">
        <f>100*((1+F24/100)*(1+F42/100)-1)</f>
        <v>7.8448926524976592</v>
      </c>
      <c r="G33" s="1">
        <f>100*((1+G24/100)*(1+G42/100)-1)</f>
        <v>6.6898877601293316</v>
      </c>
      <c r="H33" s="1">
        <f t="shared" si="5"/>
        <v>5.8829833926471009</v>
      </c>
      <c r="I33" s="1">
        <f t="shared" si="5"/>
        <v>5.7272304349907932</v>
      </c>
      <c r="J33" s="1">
        <f t="shared" si="5"/>
        <v>5.5963522501186969</v>
      </c>
      <c r="K33" s="1">
        <f t="shared" si="5"/>
        <v>6.0895229712210952</v>
      </c>
      <c r="L33" s="1">
        <f t="shared" si="5"/>
        <v>6.0171917716874246</v>
      </c>
      <c r="M33" s="1">
        <f t="shared" si="5"/>
        <v>5.9023285627750388</v>
      </c>
      <c r="N33" s="1">
        <f t="shared" si="5"/>
        <v>5.2435837311928912</v>
      </c>
      <c r="O33" s="1">
        <f t="shared" si="5"/>
        <v>5.1531222848000047</v>
      </c>
      <c r="P33" s="1">
        <f t="shared" si="5"/>
        <v>5.1032366564250031</v>
      </c>
      <c r="Q33" s="1">
        <f t="shared" si="5"/>
        <v>5.0533559067099887</v>
      </c>
      <c r="R33" s="1">
        <f t="shared" si="5"/>
        <v>5.003490354450002</v>
      </c>
      <c r="S33" s="1">
        <f t="shared" si="5"/>
        <v>4.9848741094399962</v>
      </c>
      <c r="T33" s="1">
        <f t="shared" si="5"/>
        <v>4.9190690487499911</v>
      </c>
      <c r="U33" s="1">
        <f>100*((1+U24/100)*(1+U42/100)-1)</f>
        <v>4.851986902960026</v>
      </c>
      <c r="V33" s="1">
        <f t="shared" si="5"/>
        <v>4.8060313760349915</v>
      </c>
      <c r="W33" s="1">
        <f t="shared" si="5"/>
        <v>4.777184417580016</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3.2392629999999998</v>
      </c>
      <c r="D36" s="100">
        <f>'Input data'!D37</f>
        <v>4.4184200000000002</v>
      </c>
      <c r="E36" s="100">
        <f>'Input data'!E37</f>
        <v>7.2293640000000003</v>
      </c>
      <c r="F36" s="100">
        <f>'Input data'!F37</f>
        <v>7.2143069999999998</v>
      </c>
      <c r="G36" s="100">
        <f>'Input data'!G37</f>
        <v>5.985741</v>
      </c>
      <c r="H36" s="34">
        <f t="shared" ref="H36:W36" si="6">H101</f>
        <v>6.1006442626004187</v>
      </c>
      <c r="I36" s="34">
        <f t="shared" si="6"/>
        <v>6.1883468017334327</v>
      </c>
      <c r="J36" s="34">
        <f t="shared" si="6"/>
        <v>6.2553067442008849</v>
      </c>
      <c r="K36" s="34">
        <f t="shared" si="6"/>
        <v>6.3049549272222096</v>
      </c>
      <c r="L36" s="34">
        <f t="shared" si="6"/>
        <v>6.3425560164202812</v>
      </c>
      <c r="M36" s="34">
        <f t="shared" si="6"/>
        <v>6.3696613556191437</v>
      </c>
      <c r="N36" s="34">
        <f t="shared" si="6"/>
        <v>6.3876199729912395</v>
      </c>
      <c r="O36" s="34">
        <f t="shared" si="6"/>
        <v>6.3979038366394372</v>
      </c>
      <c r="P36" s="34">
        <f t="shared" si="6"/>
        <v>6.390278985841106</v>
      </c>
      <c r="Q36" s="34">
        <f t="shared" si="6"/>
        <v>6.3750030271510161</v>
      </c>
      <c r="R36" s="34">
        <f t="shared" si="6"/>
        <v>6.3525864496956164</v>
      </c>
      <c r="S36" s="34">
        <f t="shared" si="6"/>
        <v>6.3234206340670367</v>
      </c>
      <c r="T36" s="34">
        <f t="shared" si="6"/>
        <v>6.287884200570252</v>
      </c>
      <c r="U36" s="34">
        <f t="shared" si="6"/>
        <v>6.2463352685627429</v>
      </c>
      <c r="V36" s="34">
        <f t="shared" si="6"/>
        <v>6.199090271244744</v>
      </c>
      <c r="W36" s="34">
        <f t="shared" si="6"/>
        <v>6.146456615898666</v>
      </c>
    </row>
    <row r="37" spans="2:51" x14ac:dyDescent="0.2">
      <c r="B37" s="32" t="s">
        <v>94</v>
      </c>
      <c r="C37" s="1"/>
      <c r="D37" s="2">
        <f>'Input data'!D$39</f>
        <v>7.57</v>
      </c>
      <c r="E37" s="2">
        <f>'Input data'!E$39</f>
        <v>7.51</v>
      </c>
      <c r="F37" s="166">
        <f>'Input data'!F$39</f>
        <v>6.852957</v>
      </c>
      <c r="G37" s="166">
        <f>'Input data'!G$39</f>
        <v>7.0544219999999997</v>
      </c>
      <c r="H37" s="1">
        <f>G37+($O$37-$G$37)/($O$10-$G$10)</f>
        <v>6.9882267499999999</v>
      </c>
      <c r="I37" s="1">
        <f t="shared" ref="I37:N37" si="7">H37+($O$37-$G$37)/($O$10-$G$10)</f>
        <v>6.9220315000000001</v>
      </c>
      <c r="J37" s="1">
        <f t="shared" si="7"/>
        <v>6.8558362500000003</v>
      </c>
      <c r="K37" s="1">
        <f t="shared" si="7"/>
        <v>6.7896410000000005</v>
      </c>
      <c r="L37" s="1">
        <f t="shared" si="7"/>
        <v>6.7234457500000007</v>
      </c>
      <c r="M37" s="1">
        <f t="shared" si="7"/>
        <v>6.6572505000000008</v>
      </c>
      <c r="N37" s="1">
        <f t="shared" si="7"/>
        <v>6.591055250000001</v>
      </c>
      <c r="O37" s="252">
        <f>'Input data'!$C$52</f>
        <v>6.5248600000000003</v>
      </c>
      <c r="P37" s="1">
        <f>'Baseline NFPC'!P36</f>
        <v>6.4486170000000005</v>
      </c>
      <c r="Q37" s="1">
        <f>'Baseline NFPC'!Q36</f>
        <v>6.3723740000000006</v>
      </c>
      <c r="R37" s="1">
        <f>'Baseline NFPC'!R36</f>
        <v>6.2961309999999999</v>
      </c>
      <c r="S37" s="1">
        <f>'Baseline NFPC'!S36</f>
        <v>6.2198880000000001</v>
      </c>
      <c r="T37" s="1">
        <f>'Baseline NFPC'!T36</f>
        <v>6.1436450000000002</v>
      </c>
      <c r="U37" s="1">
        <f>'Baseline NFPC'!U36</f>
        <v>6.0674020000000004</v>
      </c>
      <c r="V37" s="1">
        <f>'Baseline NFPC'!V36</f>
        <v>5.9911590000000006</v>
      </c>
      <c r="W37" s="1">
        <f>'Baseline NFPC'!W36</f>
        <v>5.9149159999999998</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10.32</v>
      </c>
      <c r="E38" s="2">
        <f>'Input data'!E$38</f>
        <v>15.97</v>
      </c>
      <c r="F38" s="166">
        <f>'Input data'!F$38</f>
        <v>7.4377000000000004</v>
      </c>
      <c r="G38" s="166">
        <f>'Input data'!G$38</f>
        <v>6.4500719999999996</v>
      </c>
      <c r="H38" s="1">
        <f>G38+($O$38-$G$38)/($O$10-$G$10)</f>
        <v>6.4235542499999996</v>
      </c>
      <c r="I38" s="1">
        <f t="shared" ref="I38:N38" si="8">H38+($O$38-$G$38)/($O$10-$G$10)</f>
        <v>6.3970364999999996</v>
      </c>
      <c r="J38" s="1">
        <f t="shared" si="8"/>
        <v>6.3705187499999996</v>
      </c>
      <c r="K38" s="1">
        <f t="shared" si="8"/>
        <v>6.3440009999999996</v>
      </c>
      <c r="L38" s="1">
        <f t="shared" si="8"/>
        <v>6.3174832499999996</v>
      </c>
      <c r="M38" s="1">
        <f t="shared" si="8"/>
        <v>6.2909654999999995</v>
      </c>
      <c r="N38" s="1">
        <f t="shared" si="8"/>
        <v>6.2644477499999995</v>
      </c>
      <c r="O38" s="252">
        <f>'Input data'!$C$53</f>
        <v>6.2379300000000004</v>
      </c>
      <c r="P38" s="1">
        <f>'Baseline NFPC'!P37</f>
        <v>6.0510335000000008</v>
      </c>
      <c r="Q38" s="1">
        <f>'Baseline NFPC'!Q37</f>
        <v>5.8641370000000004</v>
      </c>
      <c r="R38" s="1">
        <f>'Baseline NFPC'!R37</f>
        <v>5.6772404999999999</v>
      </c>
      <c r="S38" s="1">
        <f>'Baseline NFPC'!S37</f>
        <v>5.4903440000000003</v>
      </c>
      <c r="T38" s="1">
        <f>'Baseline NFPC'!T37</f>
        <v>5.3034475000000008</v>
      </c>
      <c r="U38" s="1">
        <f>'Baseline NFPC'!U37</f>
        <v>5.1165510000000003</v>
      </c>
      <c r="V38" s="1">
        <f>'Baseline NFPC'!V37</f>
        <v>4.9296544999999998</v>
      </c>
      <c r="W38" s="1">
        <f>'Baseline NFPC'!W37</f>
        <v>4.7427580000000003</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7.9358789999999998E-2</v>
      </c>
      <c r="D39" s="34">
        <f>'Baseline NFPC'!D38</f>
        <v>6.020197E-2</v>
      </c>
      <c r="E39" s="34">
        <f>'Baseline NFPC'!E38</f>
        <v>5.0460409999999997E-2</v>
      </c>
      <c r="F39" s="34">
        <f>'Baseline NFPC'!F38</f>
        <v>6.7433850000000004E-2</v>
      </c>
      <c r="G39" s="34">
        <f>'Baseline NFPC'!G38</f>
        <v>6.8616281111111108E-2</v>
      </c>
      <c r="H39" s="34">
        <f>'Baseline NFPC'!H38</f>
        <v>6.9798712222222226E-2</v>
      </c>
      <c r="I39" s="34">
        <f>'Baseline NFPC'!I38</f>
        <v>7.098114333333333E-2</v>
      </c>
      <c r="J39" s="34">
        <f>'Baseline NFPC'!J38</f>
        <v>7.2163574444444448E-2</v>
      </c>
      <c r="K39" s="34">
        <f>'Baseline NFPC'!K38</f>
        <v>7.3346005555555552E-2</v>
      </c>
      <c r="L39" s="34">
        <f>'Baseline NFPC'!L38</f>
        <v>7.452843666666667E-2</v>
      </c>
      <c r="M39" s="34">
        <f>'Baseline NFPC'!M38</f>
        <v>7.5710867777777774E-2</v>
      </c>
      <c r="N39" s="34">
        <f>'Baseline NFPC'!N38</f>
        <v>7.6893298888888878E-2</v>
      </c>
      <c r="O39" s="34">
        <f>'Baseline NFPC'!O38</f>
        <v>7.8075729999999996E-2</v>
      </c>
      <c r="P39" s="34">
        <f>'Baseline NFPC'!P38</f>
        <v>7.8075729999999996E-2</v>
      </c>
      <c r="Q39" s="34">
        <f>'Baseline NFPC'!Q38</f>
        <v>7.8075729999999996E-2</v>
      </c>
      <c r="R39" s="34">
        <f>'Baseline NFPC'!R38</f>
        <v>7.8075729999999996E-2</v>
      </c>
      <c r="S39" s="34">
        <f>'Baseline NFPC'!S38</f>
        <v>7.8075729999999996E-2</v>
      </c>
      <c r="T39" s="34">
        <f>'Baseline NFPC'!T38</f>
        <v>7.8075729999999996E-2</v>
      </c>
      <c r="U39" s="34">
        <f>'Baseline NFPC'!U38</f>
        <v>7.8075729999999996E-2</v>
      </c>
      <c r="V39" s="34">
        <f>'Baseline NFPC'!V38</f>
        <v>7.8075729999999996E-2</v>
      </c>
      <c r="W39" s="34">
        <f>'Baseline NFPC'!W38</f>
        <v>7.8075729999999996E-2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6.4392469999999999</v>
      </c>
      <c r="D42" s="2">
        <f>'Input data'!D42</f>
        <v>14.231339999999999</v>
      </c>
      <c r="E42" s="2">
        <f>'Input data'!E42</f>
        <v>14.74901</v>
      </c>
      <c r="F42" s="2">
        <f>'Input data'!F42</f>
        <v>5.300141</v>
      </c>
      <c r="G42" s="2">
        <f>'Input data'!G42</f>
        <v>3.7999740000000002</v>
      </c>
      <c r="H42" s="1">
        <f>'Baseline NFPC'!H41</f>
        <v>3.72622725</v>
      </c>
      <c r="I42" s="1">
        <f>'Baseline NFPC'!I41</f>
        <v>3.6524805000000002</v>
      </c>
      <c r="J42" s="1">
        <f>'Baseline NFPC'!J41</f>
        <v>3.57873375</v>
      </c>
      <c r="K42" s="1">
        <f>'Baseline NFPC'!K41</f>
        <v>3.5049869999999999</v>
      </c>
      <c r="L42" s="1">
        <f>'Baseline NFPC'!L41</f>
        <v>3.4312402500000001</v>
      </c>
      <c r="M42" s="1">
        <f>'Baseline NFPC'!M41</f>
        <v>3.3574934999999999</v>
      </c>
      <c r="N42" s="1">
        <f>'Baseline NFPC'!N41</f>
        <v>3.2837467499999997</v>
      </c>
      <c r="O42" s="252">
        <f>'Baseline NFPC'!O41</f>
        <v>3.21</v>
      </c>
      <c r="P42" s="1">
        <f>'Baseline NFPC'!P41</f>
        <v>3.1995</v>
      </c>
      <c r="Q42" s="1">
        <f>'Baseline NFPC'!Q41</f>
        <v>3.1890000000000001</v>
      </c>
      <c r="R42" s="1">
        <f>'Baseline NFPC'!R41</f>
        <v>3.1785000000000001</v>
      </c>
      <c r="S42" s="1">
        <f>'Baseline NFPC'!S41</f>
        <v>3.1680000000000001</v>
      </c>
      <c r="T42" s="1">
        <f>'Baseline NFPC'!T41</f>
        <v>3.1574999999999998</v>
      </c>
      <c r="U42" s="1">
        <f>'Baseline NFPC'!U41</f>
        <v>3.1469999999999998</v>
      </c>
      <c r="V42" s="1">
        <f>'Baseline NFPC'!V41</f>
        <v>3.1364999999999998</v>
      </c>
      <c r="W42" s="1">
        <f>'Baseline NFPC'!W41</f>
        <v>3.1259999999999999</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1.002497</v>
      </c>
      <c r="D43" s="1">
        <f>'Baseline NFPC'!D42</f>
        <v>1.052827</v>
      </c>
      <c r="E43" s="1">
        <f>'Baseline NFPC'!E42</f>
        <v>0.98856089999999996</v>
      </c>
      <c r="F43" s="1">
        <f>'Baseline NFPC'!F42</f>
        <v>1.0111460000000001</v>
      </c>
      <c r="G43" s="1">
        <f>'Baseline NFPC'!G42</f>
        <v>1.001916</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0.45300000000000001</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-0.61073938809514206</v>
      </c>
      <c r="I51" s="34">
        <f t="shared" si="9"/>
        <v>-0.72691281665002716</v>
      </c>
      <c r="J51" s="34">
        <f t="shared" si="9"/>
        <v>-0.80422993533617593</v>
      </c>
      <c r="K51" s="34">
        <f t="shared" si="9"/>
        <v>-0.85569326368041632</v>
      </c>
      <c r="L51" s="34">
        <f t="shared" si="9"/>
        <v>-0.42784663184020816</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4.5834080000000004</v>
      </c>
      <c r="E52" s="34">
        <f>'Input data'!E30-$C$47*((E12-D12)-('Input data'!E13-'Input data'!D13))</f>
        <v>-0.90768590000000005</v>
      </c>
      <c r="F52" s="34">
        <f>'Input data'!F30-$C$47*((F12-E12)-('Input data'!F13-'Input data'!E13))</f>
        <v>2.4166650000000001</v>
      </c>
      <c r="G52" s="34">
        <f>'Input data'!G30-$C$47*((G12-F12))</f>
        <v>2.7841179999999999</v>
      </c>
      <c r="H52" s="34">
        <f>'Input data'!H30-$C$47*((H12-G12))</f>
        <v>1.9144060000000001</v>
      </c>
      <c r="I52" s="34">
        <f>'Input data'!I30-$C$47*((I12-H12))</f>
        <v>1.8261859999999999</v>
      </c>
      <c r="J52" s="34">
        <f>'Input data'!J30-$C$47*((J12-I12))</f>
        <v>1.6322459999999999</v>
      </c>
      <c r="K52" s="34">
        <f>'Input data'!K30-$C$47*((K12-J12))</f>
        <v>2.0546989999999998</v>
      </c>
      <c r="L52" s="34">
        <f>'Input data'!L30-$C$47*((L12-K12))</f>
        <v>2.059733</v>
      </c>
      <c r="M52" s="34">
        <f>'Input data'!M30-$C$47*((M12-L12))</f>
        <v>2.023784</v>
      </c>
      <c r="N52" s="34">
        <f>'Input data'!N30-$C$47*((N12-M12))</f>
        <v>1.897527</v>
      </c>
      <c r="O52" s="34">
        <f>'Input data'!O30-$C$47*((O12-N12))</f>
        <v>1.8826879999999999</v>
      </c>
      <c r="P52" s="34">
        <f>'Input data'!P30-$C$47*((P12-O12))</f>
        <v>1.8447150000000001</v>
      </c>
      <c r="Q52" s="34">
        <f>'Input data'!Q30-$C$47*((Q12-P12))</f>
        <v>1.8067390000000001</v>
      </c>
      <c r="R52" s="34">
        <f>'Input data'!R30-$C$47*((R12-Q12))</f>
        <v>1.76877</v>
      </c>
      <c r="S52" s="34">
        <f>'Input data'!S30-$C$47*((S12-R12))</f>
        <v>1.761083</v>
      </c>
      <c r="T52" s="34">
        <f>'Input data'!T30-$C$47*((T12-S12))</f>
        <v>1.7076499999999999</v>
      </c>
      <c r="U52" s="34">
        <f>'Input data'!U30-$C$47*((U12-T12))</f>
        <v>1.652968</v>
      </c>
      <c r="V52" s="34">
        <f>'Input data'!V30-$C$47*((V12-U12))</f>
        <v>1.6187590000000001</v>
      </c>
      <c r="W52" s="34">
        <f>'Input data'!W30-$C$47*((W12-V12))</f>
        <v>1.6011329999999999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76.688640000000007</v>
      </c>
      <c r="D57" s="45">
        <f>+C57+D58</f>
        <v>74.056958506530165</v>
      </c>
      <c r="E57" s="45">
        <f>+D57+E58</f>
        <v>73.520357526734585</v>
      </c>
      <c r="F57" s="45">
        <f>+E57+F58</f>
        <v>74.287964673525892</v>
      </c>
      <c r="G57" s="45">
        <f>+F57+G58</f>
        <v>73.854222000134087</v>
      </c>
      <c r="H57" s="45">
        <f t="shared" ref="H57:S57" si="10">+G57+H58</f>
        <v>73.145093744834028</v>
      </c>
      <c r="I57" s="45">
        <f t="shared" si="10"/>
        <v>71.995695653916613</v>
      </c>
      <c r="J57" s="45">
        <f t="shared" si="10"/>
        <v>70.351529341469288</v>
      </c>
      <c r="K57" s="45">
        <f t="shared" si="10"/>
        <v>68.220207862620029</v>
      </c>
      <c r="L57" s="45">
        <f t="shared" si="10"/>
        <v>66.005551885247954</v>
      </c>
      <c r="M57" s="45">
        <f t="shared" si="10"/>
        <v>63.758873845840455</v>
      </c>
      <c r="N57" s="45">
        <f t="shared" si="10"/>
        <v>62.014797976032192</v>
      </c>
      <c r="O57" s="45">
        <f t="shared" si="10"/>
        <v>60.440781226385973</v>
      </c>
      <c r="P57" s="45">
        <f t="shared" si="10"/>
        <v>59.026867815732409</v>
      </c>
      <c r="Q57" s="45">
        <f t="shared" si="10"/>
        <v>57.802291982818204</v>
      </c>
      <c r="R57" s="45">
        <f t="shared" si="10"/>
        <v>56.790330100508918</v>
      </c>
      <c r="S57" s="45">
        <f t="shared" si="10"/>
        <v>55.977034476616197</v>
      </c>
      <c r="T57" s="45">
        <f>+S57+T58</f>
        <v>55.392400142926711</v>
      </c>
      <c r="U57" s="45">
        <f>+T57+U58</f>
        <v>55.048814322300601</v>
      </c>
      <c r="V57" s="45">
        <f t="shared" ref="V57:W57" si="11">+U57+V58</f>
        <v>54.948375777158063</v>
      </c>
      <c r="W57" s="45">
        <f t="shared" si="11"/>
        <v>55.105753385165151</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-2.631681493469844</v>
      </c>
      <c r="E58" s="47">
        <f>-E59+E67+E72</f>
        <v>-0.53660097979557353</v>
      </c>
      <c r="F58" s="47">
        <f>-F59+F67+F72</f>
        <v>0.76760714679130904</v>
      </c>
      <c r="G58" s="47">
        <f>-G59+G67+G72</f>
        <v>-0.43374267339180306</v>
      </c>
      <c r="H58" s="47">
        <f t="shared" ref="H58:S58" si="12">-H59+H67+H72</f>
        <v>-0.70912825530005552</v>
      </c>
      <c r="I58" s="47">
        <f t="shared" si="12"/>
        <v>-1.1493980909174168</v>
      </c>
      <c r="J58" s="47">
        <f t="shared" si="12"/>
        <v>-1.6441663124473207</v>
      </c>
      <c r="K58" s="47">
        <f t="shared" si="12"/>
        <v>-2.1313214788492578</v>
      </c>
      <c r="L58" s="47">
        <f t="shared" si="12"/>
        <v>-2.2146559773720713</v>
      </c>
      <c r="M58" s="47">
        <f t="shared" si="12"/>
        <v>-2.2466780394074952</v>
      </c>
      <c r="N58" s="47">
        <f t="shared" si="12"/>
        <v>-1.7440758698082655</v>
      </c>
      <c r="O58" s="47">
        <f t="shared" si="12"/>
        <v>-1.5740167496462159</v>
      </c>
      <c r="P58" s="47">
        <f t="shared" si="12"/>
        <v>-1.4139134106535622</v>
      </c>
      <c r="Q58" s="47">
        <f t="shared" si="12"/>
        <v>-1.2245758329142042</v>
      </c>
      <c r="R58" s="47">
        <f t="shared" si="12"/>
        <v>-1.0119618823092851</v>
      </c>
      <c r="S58" s="47">
        <f t="shared" si="12"/>
        <v>-0.81329562389272358</v>
      </c>
      <c r="T58" s="47">
        <f>-T59+T67+T72</f>
        <v>-0.58463433368948547</v>
      </c>
      <c r="U58" s="47">
        <f t="shared" ref="U58:W58" si="13">-U59+U67+U72</f>
        <v>-0.34358582062611021</v>
      </c>
      <c r="V58" s="47">
        <f t="shared" si="13"/>
        <v>-0.10043854514253958</v>
      </c>
      <c r="W58" s="47">
        <f t="shared" si="13"/>
        <v>0.15737760800708855</v>
      </c>
    </row>
    <row r="59" spans="2:48" outlineLevel="1" x14ac:dyDescent="0.2">
      <c r="B59" s="84" t="s">
        <v>106</v>
      </c>
      <c r="C59" s="48"/>
      <c r="D59" s="48">
        <f>D60+D61-D62-D63-D64-D65-D66</f>
        <v>-3.3918265065301565</v>
      </c>
      <c r="E59" s="48">
        <f>E60+E61-E62-E63-E64-E65-E66</f>
        <v>-1.9835450202044265</v>
      </c>
      <c r="F59" s="48">
        <f t="shared" ref="F59:R59" si="14">F60+F61-F62-F63-F64-F65-F66</f>
        <v>-0.51716924679130893</v>
      </c>
      <c r="G59" s="48">
        <f t="shared" si="14"/>
        <v>0.27988828578935099</v>
      </c>
      <c r="H59" s="48">
        <f t="shared" si="14"/>
        <v>0.86094844108630664</v>
      </c>
      <c r="I59" s="48">
        <f t="shared" si="14"/>
        <v>1.4684114589390687</v>
      </c>
      <c r="J59" s="48">
        <f t="shared" si="14"/>
        <v>2.0934421273291575</v>
      </c>
      <c r="K59" s="48">
        <f t="shared" si="14"/>
        <v>2.2741816515527722</v>
      </c>
      <c r="L59" s="48">
        <f t="shared" si="14"/>
        <v>2.4240221757763889</v>
      </c>
      <c r="M59" s="48">
        <f t="shared" si="14"/>
        <v>2.5379517000000007</v>
      </c>
      <c r="N59" s="48">
        <f t="shared" si="14"/>
        <v>2.4371581445642856</v>
      </c>
      <c r="O59" s="48">
        <f t="shared" si="14"/>
        <v>2.3081354784514114</v>
      </c>
      <c r="P59" s="48">
        <f t="shared" si="14"/>
        <v>2.1540413680410784</v>
      </c>
      <c r="Q59" s="48">
        <f t="shared" si="14"/>
        <v>1.9671764781196082</v>
      </c>
      <c r="R59" s="48">
        <f t="shared" si="14"/>
        <v>1.7546119232463511</v>
      </c>
      <c r="S59" s="48">
        <f>S60+S61-S62-S63-S64-S65-S66</f>
        <v>1.5373665877652547</v>
      </c>
      <c r="T59" s="48">
        <f>T60+T61-T62-T63-T64-T65-T66</f>
        <v>1.3149325877652556</v>
      </c>
      <c r="U59" s="48">
        <f>U60+U61-U62-U63-U64-U65-U66</f>
        <v>1.0802080333990944</v>
      </c>
      <c r="V59" s="48">
        <f t="shared" ref="V59:W59" si="15">V60+V61-V62-V63-V64-V65-V66</f>
        <v>0.83213537075066957</v>
      </c>
      <c r="W59" s="48">
        <f t="shared" si="15"/>
        <v>0.56071081661186328</v>
      </c>
    </row>
    <row r="60" spans="2:48" outlineLevel="1" x14ac:dyDescent="0.2">
      <c r="B60" s="79" t="s">
        <v>107</v>
      </c>
      <c r="C60" s="1"/>
      <c r="D60" s="1">
        <f>D12</f>
        <v>-4.121645</v>
      </c>
      <c r="E60" s="1">
        <f>E12</f>
        <v>-1.336916</v>
      </c>
      <c r="F60" s="1">
        <f>F12</f>
        <v>3.4885699999999999E-2</v>
      </c>
      <c r="G60" s="1">
        <f t="shared" ref="G60:W60" si="16">IF(G12="",F60,G12)</f>
        <v>0.69488570000000005</v>
      </c>
      <c r="H60" s="1">
        <f t="shared" si="16"/>
        <v>1.3548857000000001</v>
      </c>
      <c r="I60" s="1">
        <f t="shared" si="16"/>
        <v>2.0148857000000002</v>
      </c>
      <c r="J60" s="1">
        <f t="shared" si="16"/>
        <v>2.6748857000000004</v>
      </c>
      <c r="K60" s="1">
        <f t="shared" si="16"/>
        <v>2.6748857000000004</v>
      </c>
      <c r="L60" s="1">
        <f t="shared" si="16"/>
        <v>2.6748857000000004</v>
      </c>
      <c r="M60" s="1">
        <f t="shared" si="16"/>
        <v>2.6748857000000004</v>
      </c>
      <c r="N60" s="1">
        <f t="shared" si="16"/>
        <v>2.6748857000000004</v>
      </c>
      <c r="O60" s="1">
        <f t="shared" si="16"/>
        <v>2.6748857000000004</v>
      </c>
      <c r="P60" s="1">
        <f t="shared" si="16"/>
        <v>2.6748857000000004</v>
      </c>
      <c r="Q60" s="1">
        <f t="shared" si="16"/>
        <v>2.6748857000000004</v>
      </c>
      <c r="R60" s="1">
        <f t="shared" si="16"/>
        <v>2.6748857000000004</v>
      </c>
      <c r="S60" s="1">
        <f t="shared" si="16"/>
        <v>2.6748857000000004</v>
      </c>
      <c r="T60" s="1">
        <f t="shared" si="16"/>
        <v>2.6748857000000004</v>
      </c>
      <c r="U60" s="1">
        <f t="shared" si="16"/>
        <v>2.6748857000000004</v>
      </c>
      <c r="V60" s="1">
        <f t="shared" si="16"/>
        <v>2.6748857000000004</v>
      </c>
      <c r="W60" s="1">
        <f t="shared" si="16"/>
        <v>2.6748857000000004</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-0.7298184934698434</v>
      </c>
      <c r="E62" s="1">
        <f t="shared" si="17"/>
        <v>0.64662902020442647</v>
      </c>
      <c r="F62" s="1">
        <f t="shared" si="17"/>
        <v>0.55205494679130895</v>
      </c>
      <c r="G62" s="1">
        <f t="shared" si="17"/>
        <v>0.41499741421064906</v>
      </c>
      <c r="H62" s="1">
        <f t="shared" si="17"/>
        <v>0.49393725891369344</v>
      </c>
      <c r="I62" s="1">
        <f t="shared" si="17"/>
        <v>0.54647424106093156</v>
      </c>
      <c r="J62" s="1">
        <f t="shared" si="17"/>
        <v>0.5814435726708429</v>
      </c>
      <c r="K62" s="1">
        <f t="shared" si="17"/>
        <v>0.38762904844722695</v>
      </c>
      <c r="L62" s="1">
        <f t="shared" si="17"/>
        <v>0.19381452422361095</v>
      </c>
      <c r="M62" s="1">
        <f>-$C$48*M30</f>
        <v>0</v>
      </c>
      <c r="N62" s="1">
        <f t="shared" si="17"/>
        <v>-4.4456428478500952E-7</v>
      </c>
      <c r="O62" s="1">
        <f t="shared" si="17"/>
        <v>-1.7784514113383666E-6</v>
      </c>
      <c r="P62" s="1">
        <f t="shared" si="17"/>
        <v>-2.6680410781354527E-6</v>
      </c>
      <c r="Q62" s="1">
        <f t="shared" si="17"/>
        <v>-1.7781196076205319E-6</v>
      </c>
      <c r="R62" s="1">
        <f t="shared" si="17"/>
        <v>-2.2232463503524258E-6</v>
      </c>
      <c r="S62" s="1">
        <f t="shared" si="17"/>
        <v>-8.8776525430933617E-7</v>
      </c>
      <c r="T62" s="1">
        <f t="shared" si="17"/>
        <v>-8.8776525430933617E-7</v>
      </c>
      <c r="U62" s="1">
        <f>-$C$48*U30</f>
        <v>-1.3333990923403151E-6</v>
      </c>
      <c r="V62" s="1">
        <f t="shared" si="17"/>
        <v>-2.6707506693535168E-6</v>
      </c>
      <c r="W62" s="1">
        <f t="shared" si="17"/>
        <v>-3.1166118623859874E-6</v>
      </c>
    </row>
    <row r="63" spans="2:48" outlineLevel="1" x14ac:dyDescent="0.2">
      <c r="B63" s="79" t="s">
        <v>110</v>
      </c>
      <c r="C63" s="1"/>
      <c r="D63" s="1">
        <f t="shared" ref="D63:W63" si="18">-D14</f>
        <v>0</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1.2320000000000775E-2</v>
      </c>
      <c r="L64" s="1">
        <f>IF(L$56&lt;=$C$6,0,HLOOKUP(L$56,'Input data'!$C$9:$BB$26,12,FALSE)-HLOOKUP($C$6,'Input data'!$C$9:$BB$26,12,FALSE))</f>
        <v>5.5540000000000589E-2</v>
      </c>
      <c r="M64" s="1">
        <f>IF(M$56&lt;=$C$6,0,HLOOKUP(M$56,'Input data'!$C$9:$BB$26,12,FALSE)-HLOOKUP($C$6,'Input data'!$C$9:$BB$26,12,FALSE))</f>
        <v>0.13466999999999985</v>
      </c>
      <c r="N64" s="1">
        <f>IF(N$56&lt;=$C$6,0,HLOOKUP(N$56,'Input data'!$C$9:$BB$26,12,FALSE)-HLOOKUP($C$6,'Input data'!$C$9:$BB$26,12,FALSE))</f>
        <v>0.23470999999999975</v>
      </c>
      <c r="O64" s="1">
        <f>IF(O$56&lt;=$C$6,0,HLOOKUP(O$56,'Input data'!$C$9:$BB$26,12,FALSE)-HLOOKUP($C$6,'Input data'!$C$9:$BB$26,12,FALSE))</f>
        <v>0.3629800000000003</v>
      </c>
      <c r="P64" s="1">
        <f>IF(P$56&lt;=$C$6,0,HLOOKUP(P$56,'Input data'!$C$9:$BB$26,12,FALSE)-HLOOKUP($C$6,'Input data'!$C$9:$BB$26,12,FALSE))</f>
        <v>0.51632000000000033</v>
      </c>
      <c r="Q64" s="1">
        <f>IF(Q$56&lt;=$C$6,0,HLOOKUP(Q$56,'Input data'!$C$9:$BB$26,12,FALSE)-HLOOKUP($C$6,'Input data'!$C$9:$BB$26,12,FALSE))</f>
        <v>0.70242999999999967</v>
      </c>
      <c r="R64" s="1">
        <f>IF(R$56&lt;=$C$6,0,HLOOKUP(R$56,'Input data'!$C$9:$BB$26,12,FALSE)-HLOOKUP($C$6,'Input data'!$C$9:$BB$26,12,FALSE))</f>
        <v>0.9142399999999995</v>
      </c>
      <c r="S64" s="1">
        <f>IF(S$56&lt;=$C$6,0,HLOOKUP(S$56,'Input data'!$C$9:$BB$26,12,FALSE)-HLOOKUP($C$6,'Input data'!$C$9:$BB$26,12,FALSE))</f>
        <v>1.1307299999999998</v>
      </c>
      <c r="T64" s="1">
        <f>IF(T$56&lt;=$C$6,0,HLOOKUP(T$56,'Input data'!$C$9:$BB$26,12,FALSE)-HLOOKUP($C$6,'Input data'!$C$9:$BB$26,12,FALSE))</f>
        <v>1.352409999999999</v>
      </c>
      <c r="U64" s="1">
        <f>IF(U$56&lt;=$C$6,0,HLOOKUP(U$56,'Input data'!$C$9:$BB$26,12,FALSE)-HLOOKUP($C$6,'Input data'!$C$9:$BB$26,12,FALSE))</f>
        <v>1.5863799999999983</v>
      </c>
      <c r="V64" s="1">
        <f>IF(V$56&lt;=$C$6,0,HLOOKUP(V$56,'Input data'!$C$9:$BB$26,12,FALSE)-HLOOKUP($C$6,'Input data'!$C$9:$BB$26,12,FALSE))</f>
        <v>1.8337000000000003</v>
      </c>
      <c r="W64" s="1">
        <f>IF(W$56&lt;=$C$6,0,HLOOKUP(W$56,'Input data'!$C$9:$BB$26,12,FALSE)-HLOOKUP($C$6,'Input data'!$C$9:$BB$26,12,FALSE))</f>
        <v>2.1043699999999994</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7.5500000000006118E-4</v>
      </c>
      <c r="L65" s="1">
        <f>IF(L$56&lt;=$C$6,0,-HLOOKUP(L$56,'Input data'!$C$9:$BB$26,18,FALSE)+HLOOKUP($C$6,'Input data'!$C$9:$BB$26,18,FALSE))</f>
        <v>1.5089999999999826E-3</v>
      </c>
      <c r="M65" s="1">
        <f>IF(M$56&lt;=$C$6,0,-HLOOKUP(M$56,'Input data'!$C$9:$BB$26,18,FALSE)+HLOOKUP($C$6,'Input data'!$C$9:$BB$26,18,FALSE))</f>
        <v>2.2640000000000438E-3</v>
      </c>
      <c r="N65" s="1">
        <f>IF(N$56&lt;=$C$6,0,-HLOOKUP(N$56,'Input data'!$C$9:$BB$26,18,FALSE)+HLOOKUP($C$6,'Input data'!$C$9:$BB$26,18,FALSE))</f>
        <v>3.0179999999999652E-3</v>
      </c>
      <c r="O65" s="1">
        <f>IF(O$56&lt;=$C$6,0,-HLOOKUP(O$56,'Input data'!$C$9:$BB$26,18,FALSE)+HLOOKUP($C$6,'Input data'!$C$9:$BB$26,18,FALSE))</f>
        <v>3.7720000000001086E-3</v>
      </c>
      <c r="P65" s="1">
        <f>IF(P$56&lt;=$C$6,0,-HLOOKUP(P$56,'Input data'!$C$9:$BB$26,18,FALSE)+HLOOKUP($C$6,'Input data'!$C$9:$BB$26,18,FALSE))</f>
        <v>4.5269999999999477E-3</v>
      </c>
      <c r="Q65" s="1">
        <f>IF(Q$56&lt;=$C$6,0,-HLOOKUP(Q$56,'Input data'!$C$9:$BB$26,18,FALSE)+HLOOKUP($C$6,'Input data'!$C$9:$BB$26,18,FALSE))</f>
        <v>5.2810000000000912E-3</v>
      </c>
      <c r="R65" s="1">
        <f>IF(R$56&lt;=$C$6,0,-HLOOKUP(R$56,'Input data'!$C$9:$BB$26,18,FALSE)+HLOOKUP($C$6,'Input data'!$C$9:$BB$26,18,FALSE))</f>
        <v>6.0359999999999303E-3</v>
      </c>
      <c r="S65" s="1">
        <f>IF(S$56&lt;=$C$6,0,-HLOOKUP(S$56,'Input data'!$C$9:$BB$26,18,FALSE)+HLOOKUP($C$6,'Input data'!$C$9:$BB$26,18,FALSE))</f>
        <v>6.7900000000000738E-3</v>
      </c>
      <c r="T65" s="1">
        <f>IF(T$56&lt;=$C$6,0,-HLOOKUP(T$56,'Input data'!$C$9:$BB$26,18,FALSE)+HLOOKUP($C$6,'Input data'!$C$9:$BB$26,18,FALSE))</f>
        <v>7.5439999999999952E-3</v>
      </c>
      <c r="U65" s="264">
        <f>IF(U$56&lt;=$C$6,0,-HLOOKUP(U$56,'Input data'!$C$9:$BB$26,18,FALSE)+HLOOKUP($C$6,'Input data'!$C$9:$BB$26,18,FALSE))</f>
        <v>8.2990000000000563E-3</v>
      </c>
      <c r="V65" s="264">
        <f>IF(V$56&lt;=$C$6,0,-HLOOKUP(V$56,'Input data'!$C$9:$BB$26,18,FALSE)+HLOOKUP($C$6,'Input data'!$C$9:$BB$26,18,FALSE))</f>
        <v>9.0529999999999777E-3</v>
      </c>
      <c r="W65" s="264">
        <f>IF(W$56&lt;=$C$6,0,-HLOOKUP(W$56,'Input data'!$C$9:$BB$26,18,FALSE)+HLOOKUP($C$6,'Input data'!$C$9:$BB$26,18,FALSE))</f>
        <v>9.8080000000000389E-3</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-9.5102200000000003</v>
      </c>
      <c r="E67" s="48">
        <f t="shared" si="19"/>
        <v>-4.272996</v>
      </c>
      <c r="F67" s="48">
        <f t="shared" si="19"/>
        <v>-0.37506469999999997</v>
      </c>
      <c r="G67" s="48">
        <f t="shared" si="19"/>
        <v>-0.48234998760245207</v>
      </c>
      <c r="H67" s="48">
        <f t="shared" si="19"/>
        <v>0.15182018578625112</v>
      </c>
      <c r="I67" s="48">
        <f t="shared" si="19"/>
        <v>0.31901336802165181</v>
      </c>
      <c r="J67" s="48">
        <f t="shared" si="19"/>
        <v>0.44927581488183677</v>
      </c>
      <c r="K67" s="48">
        <f t="shared" si="19"/>
        <v>0.14286017270351437</v>
      </c>
      <c r="L67" s="48">
        <f t="shared" si="19"/>
        <v>0.20936619840431758</v>
      </c>
      <c r="M67" s="48">
        <f t="shared" si="19"/>
        <v>0.29127366059250548</v>
      </c>
      <c r="N67" s="48">
        <f t="shared" si="19"/>
        <v>0.69308227475602013</v>
      </c>
      <c r="O67" s="48">
        <f t="shared" si="19"/>
        <v>0.73411872880519558</v>
      </c>
      <c r="P67" s="48">
        <f t="shared" ref="P67:W67" si="20">SUM(P68:P71)</f>
        <v>0.74012795738751613</v>
      </c>
      <c r="Q67" s="48">
        <f t="shared" si="20"/>
        <v>0.74260064520540392</v>
      </c>
      <c r="R67" s="48">
        <f t="shared" si="20"/>
        <v>0.74265004093706599</v>
      </c>
      <c r="S67" s="48">
        <f t="shared" si="20"/>
        <v>0.72407096387253111</v>
      </c>
      <c r="T67" s="48">
        <f t="shared" si="20"/>
        <v>0.73029825407577009</v>
      </c>
      <c r="U67" s="48">
        <f t="shared" si="20"/>
        <v>0.73662221277298423</v>
      </c>
      <c r="V67" s="48">
        <f t="shared" si="20"/>
        <v>0.73169682560812999</v>
      </c>
      <c r="W67" s="48">
        <f t="shared" si="20"/>
        <v>0.71808842461895184</v>
      </c>
    </row>
    <row r="68" spans="2:23" outlineLevel="1" x14ac:dyDescent="0.2">
      <c r="B68" s="79" t="s">
        <v>115</v>
      </c>
      <c r="C68" s="34"/>
      <c r="D68" s="34">
        <f t="shared" ref="D68:E68" si="21">C57*D36/100*(1/(1+D33/100))</f>
        <v>2.836285671073747</v>
      </c>
      <c r="E68" s="34">
        <f t="shared" si="21"/>
        <v>4.7084400584753539</v>
      </c>
      <c r="F68" s="34">
        <f>E57*F36/100*(1/(1+F33/100))</f>
        <v>4.9181599323084875</v>
      </c>
      <c r="G68" s="34">
        <f>F57*G36/100*(1/(1+G33/100))</f>
        <v>4.1678600033081201</v>
      </c>
      <c r="H68" s="34">
        <f t="shared" ref="H68:W68" si="22">G57*H36/100*(1/(1+H33/100))</f>
        <v>4.2552478337630983</v>
      </c>
      <c r="I68" s="34">
        <f t="shared" si="22"/>
        <v>4.2812736612509488</v>
      </c>
      <c r="J68" s="34">
        <f>I57*J36/100*(1/(1+J33/100))</f>
        <v>4.2648742213239919</v>
      </c>
      <c r="K68" s="34">
        <f t="shared" si="22"/>
        <v>4.1810275806352726</v>
      </c>
      <c r="L68" s="34">
        <f t="shared" si="22"/>
        <v>4.0813238172948445</v>
      </c>
      <c r="M68" s="34">
        <f t="shared" si="22"/>
        <v>3.970007258627565</v>
      </c>
      <c r="N68" s="34">
        <f t="shared" si="22"/>
        <v>3.8697604318885448</v>
      </c>
      <c r="O68" s="34">
        <f t="shared" si="22"/>
        <v>3.7732090619683745</v>
      </c>
      <c r="P68" s="34">
        <f t="shared" si="22"/>
        <v>3.6748007620484948</v>
      </c>
      <c r="Q68" s="34">
        <f t="shared" si="22"/>
        <v>3.5819556430229387</v>
      </c>
      <c r="R68" s="34">
        <f t="shared" si="22"/>
        <v>3.4969700109196316</v>
      </c>
      <c r="S68" s="34">
        <f t="shared" si="22"/>
        <v>3.420579852281274</v>
      </c>
      <c r="T68" s="34">
        <f t="shared" si="22"/>
        <v>3.3547487017517028</v>
      </c>
      <c r="U68" s="34">
        <f t="shared" si="22"/>
        <v>3.2998850364497501</v>
      </c>
      <c r="V68" s="34">
        <f t="shared" si="22"/>
        <v>3.2560394170880032</v>
      </c>
      <c r="W68" s="34">
        <f t="shared" si="22"/>
        <v>3.2233907573081524</v>
      </c>
    </row>
    <row r="69" spans="2:23" outlineLevel="1" x14ac:dyDescent="0.2">
      <c r="B69" s="79" t="s">
        <v>116</v>
      </c>
      <c r="C69" s="34"/>
      <c r="D69" s="34">
        <f t="shared" ref="D69:W69" si="23">-C57*(D24/100)*(1/(1+D33/100))</f>
        <v>-2.9421952723110931</v>
      </c>
      <c r="E69" s="34">
        <f t="shared" si="23"/>
        <v>0.5911702124935545</v>
      </c>
      <c r="F69" s="34">
        <f t="shared" si="23"/>
        <v>-1.6474964224300812</v>
      </c>
      <c r="G69" s="34">
        <f t="shared" si="23"/>
        <v>-1.9385760353964872</v>
      </c>
      <c r="H69" s="34">
        <f t="shared" si="23"/>
        <v>-1.4503125984805385</v>
      </c>
      <c r="I69" s="34">
        <f t="shared" si="23"/>
        <v>-1.3847915507067456</v>
      </c>
      <c r="J69" s="34">
        <f t="shared" si="23"/>
        <v>-1.3280856075960334</v>
      </c>
      <c r="K69" s="34">
        <f t="shared" si="23"/>
        <v>-1.655855183961638</v>
      </c>
      <c r="L69" s="34">
        <f t="shared" si="23"/>
        <v>-1.6088123398065479</v>
      </c>
      <c r="M69" s="34">
        <f t="shared" si="23"/>
        <v>-1.5345909344106483</v>
      </c>
      <c r="N69" s="34">
        <f t="shared" si="23"/>
        <v>-1.1495635203860748</v>
      </c>
      <c r="O69" s="34">
        <f t="shared" si="23"/>
        <v>-1.1103285707073771</v>
      </c>
      <c r="P69" s="34">
        <f t="shared" si="23"/>
        <v>-1.0608238079718286</v>
      </c>
      <c r="Q69" s="34">
        <f t="shared" si="23"/>
        <v>-1.0151617072112618</v>
      </c>
      <c r="R69" s="34">
        <f t="shared" si="23"/>
        <v>-0.97367201457143149</v>
      </c>
      <c r="S69" s="34">
        <f t="shared" si="23"/>
        <v>-0.95263708941668834</v>
      </c>
      <c r="T69" s="34">
        <f t="shared" si="23"/>
        <v>-0.91107540117019525</v>
      </c>
      <c r="U69" s="34">
        <f t="shared" si="23"/>
        <v>-0.87324873456326468</v>
      </c>
      <c r="V69" s="34">
        <f t="shared" si="23"/>
        <v>-0.85024461334511192</v>
      </c>
      <c r="W69" s="34">
        <f t="shared" si="23"/>
        <v>-0.83968335513362691</v>
      </c>
    </row>
    <row r="70" spans="2:23" outlineLevel="1" x14ac:dyDescent="0.2">
      <c r="B70" s="79" t="s">
        <v>117</v>
      </c>
      <c r="C70" s="34"/>
      <c r="D70" s="34">
        <f t="shared" ref="D70:W70" si="24">-C57*D42/100*(1/(1+D42/100))</f>
        <v>-9.5541390828261328</v>
      </c>
      <c r="E70" s="34">
        <f t="shared" si="24"/>
        <v>-9.5187472343543398</v>
      </c>
      <c r="F70" s="34">
        <f t="shared" si="24"/>
        <v>-3.7005483331888849</v>
      </c>
      <c r="G70" s="34">
        <f t="shared" si="24"/>
        <v>-2.7195800094546931</v>
      </c>
      <c r="H70" s="34">
        <f t="shared" si="24"/>
        <v>-2.6531150494963089</v>
      </c>
      <c r="I70" s="34">
        <f t="shared" si="24"/>
        <v>-2.5774687425225511</v>
      </c>
      <c r="J70" s="34">
        <f t="shared" si="24"/>
        <v>-2.4875127988461214</v>
      </c>
      <c r="K70" s="34">
        <f t="shared" si="24"/>
        <v>-2.3823122239701204</v>
      </c>
      <c r="L70" s="34">
        <f t="shared" si="24"/>
        <v>-2.2631452790839792</v>
      </c>
      <c r="M70" s="34">
        <f t="shared" si="24"/>
        <v>-2.144142663624411</v>
      </c>
      <c r="N70" s="34">
        <f t="shared" si="24"/>
        <v>-2.0271146367464499</v>
      </c>
      <c r="O70" s="34">
        <f t="shared" si="24"/>
        <v>-1.928761762455802</v>
      </c>
      <c r="P70" s="34">
        <f t="shared" si="24"/>
        <v>-1.8738489966891501</v>
      </c>
      <c r="Q70" s="34">
        <f t="shared" si="24"/>
        <v>-1.8241932906062728</v>
      </c>
      <c r="R70" s="34">
        <f t="shared" si="24"/>
        <v>-1.7806479554111339</v>
      </c>
      <c r="S70" s="34">
        <f t="shared" si="24"/>
        <v>-1.7438717989920545</v>
      </c>
      <c r="T70" s="34">
        <f t="shared" si="24"/>
        <v>-1.7133750465057376</v>
      </c>
      <c r="U70" s="34">
        <f t="shared" si="24"/>
        <v>-1.6900140891135012</v>
      </c>
      <c r="V70" s="34">
        <f t="shared" si="24"/>
        <v>-1.6740979781347611</v>
      </c>
      <c r="W70" s="34">
        <f t="shared" si="24"/>
        <v>-1.6656189775555736</v>
      </c>
    </row>
    <row r="71" spans="2:23" outlineLevel="1" x14ac:dyDescent="0.2">
      <c r="B71" s="79" t="s">
        <v>118</v>
      </c>
      <c r="C71" s="49"/>
      <c r="D71" s="49">
        <f>'Baseline NFPC'!D70</f>
        <v>0.14982868406347905</v>
      </c>
      <c r="E71" s="49">
        <f>'Baseline NFPC'!E70</f>
        <v>-5.3859036614568367E-2</v>
      </c>
      <c r="F71" s="49">
        <f>'Baseline NFPC'!F70</f>
        <v>5.4820123310478863E-2</v>
      </c>
      <c r="G71" s="49">
        <f>'Baseline NFPC'!G70</f>
        <v>7.9460539406078778E-3</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3.4867119999999998</v>
      </c>
      <c r="E72" s="50">
        <f>'Input data'!E16</f>
        <v>1.75285</v>
      </c>
      <c r="F72" s="50">
        <f>'Input data'!F16</f>
        <v>0.62550260000000002</v>
      </c>
      <c r="G72" s="50">
        <f>'Input data'!G16</f>
        <v>0.3284956</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5">D15</f>
        <v>9.56404E-2</v>
      </c>
      <c r="E73" s="34">
        <f t="shared" si="25"/>
        <v>2.4978720000000001</v>
      </c>
      <c r="F73" s="34">
        <f t="shared" si="25"/>
        <v>-0.13437760000000001</v>
      </c>
      <c r="G73" s="34">
        <f t="shared" si="25"/>
        <v>0.1957401</v>
      </c>
      <c r="H73" s="34">
        <f t="shared" si="25"/>
        <v>0</v>
      </c>
      <c r="I73" s="34">
        <f t="shared" si="25"/>
        <v>0</v>
      </c>
      <c r="J73" s="34">
        <f t="shared" si="25"/>
        <v>0</v>
      </c>
      <c r="K73" s="34">
        <f t="shared" si="25"/>
        <v>0</v>
      </c>
      <c r="L73" s="34">
        <f t="shared" si="25"/>
        <v>0</v>
      </c>
      <c r="M73" s="34">
        <f t="shared" si="25"/>
        <v>0</v>
      </c>
      <c r="N73" s="34">
        <f t="shared" si="25"/>
        <v>0</v>
      </c>
      <c r="O73" s="34">
        <f t="shared" si="25"/>
        <v>0</v>
      </c>
      <c r="P73" s="34">
        <f t="shared" si="25"/>
        <v>0</v>
      </c>
      <c r="Q73" s="34">
        <f t="shared" si="25"/>
        <v>0</v>
      </c>
      <c r="R73" s="34">
        <f t="shared" si="25"/>
        <v>0</v>
      </c>
      <c r="S73" s="34">
        <f t="shared" si="25"/>
        <v>0</v>
      </c>
      <c r="T73" s="34">
        <f t="shared" si="25"/>
        <v>0</v>
      </c>
      <c r="U73" s="34">
        <f t="shared" si="25"/>
        <v>0</v>
      </c>
      <c r="V73" s="34">
        <f t="shared" si="25"/>
        <v>0</v>
      </c>
      <c r="W73" s="34">
        <f t="shared" si="25"/>
        <v>0</v>
      </c>
    </row>
    <row r="74" spans="2:23" outlineLevel="1" x14ac:dyDescent="0.2">
      <c r="B74" s="89" t="s">
        <v>121</v>
      </c>
      <c r="C74" s="49"/>
      <c r="D74" s="49">
        <f>+D72-D73</f>
        <v>3.3910715999999996</v>
      </c>
      <c r="E74" s="49">
        <f t="shared" ref="E74:W74" si="26">+E72-E73</f>
        <v>-0.74502200000000007</v>
      </c>
      <c r="F74" s="49">
        <f t="shared" si="26"/>
        <v>0.75988020000000001</v>
      </c>
      <c r="G74" s="49">
        <f t="shared" si="26"/>
        <v>0.1327555</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-6.2281121776039035</v>
      </c>
      <c r="E77" s="78">
        <f t="shared" ref="E77:W77" si="27">E59-E68</f>
        <v>-6.6919850786797799</v>
      </c>
      <c r="F77" s="78">
        <f t="shared" si="27"/>
        <v>-5.4353291790997966</v>
      </c>
      <c r="G77" s="78">
        <f>G59-G68</f>
        <v>-3.8879717175187691</v>
      </c>
      <c r="H77" s="78">
        <f t="shared" si="27"/>
        <v>-3.3942993926767917</v>
      </c>
      <c r="I77" s="78">
        <f t="shared" si="27"/>
        <v>-2.8128622023118801</v>
      </c>
      <c r="J77" s="78">
        <f t="shared" si="27"/>
        <v>-2.1714320939948344</v>
      </c>
      <c r="K77" s="78">
        <f t="shared" si="27"/>
        <v>-1.9068459290825004</v>
      </c>
      <c r="L77" s="78">
        <f t="shared" si="27"/>
        <v>-1.6573016415184556</v>
      </c>
      <c r="M77" s="78">
        <f t="shared" si="27"/>
        <v>-1.4320555586275643</v>
      </c>
      <c r="N77" s="78">
        <f t="shared" si="27"/>
        <v>-1.4326022873242592</v>
      </c>
      <c r="O77" s="78">
        <f t="shared" si="27"/>
        <v>-1.465073583516963</v>
      </c>
      <c r="P77" s="78">
        <f t="shared" si="27"/>
        <v>-1.5207593940074164</v>
      </c>
      <c r="Q77" s="78">
        <f t="shared" si="27"/>
        <v>-1.6147791649033305</v>
      </c>
      <c r="R77" s="78">
        <f t="shared" si="27"/>
        <v>-1.7423580876732805</v>
      </c>
      <c r="S77" s="78">
        <f t="shared" si="27"/>
        <v>-1.8832132645160193</v>
      </c>
      <c r="T77" s="78">
        <f t="shared" si="27"/>
        <v>-2.039816113986447</v>
      </c>
      <c r="U77" s="78">
        <f t="shared" si="27"/>
        <v>-2.2196770030506556</v>
      </c>
      <c r="V77" s="78">
        <f t="shared" si="27"/>
        <v>-2.4239040463373334</v>
      </c>
      <c r="W77" s="78">
        <f t="shared" si="27"/>
        <v>-2.6626799406962891</v>
      </c>
    </row>
    <row r="78" spans="2:23" x14ac:dyDescent="0.2">
      <c r="B78" s="26" t="s">
        <v>42</v>
      </c>
      <c r="D78" s="34">
        <f>D60-D68-D64-D65-D66</f>
        <v>-6.957930671073747</v>
      </c>
      <c r="E78" s="34">
        <f t="shared" ref="E78:W78" si="28">E60-E68-E64-E65-E66</f>
        <v>-6.0453560584753543</v>
      </c>
      <c r="F78" s="34">
        <f t="shared" si="28"/>
        <v>-4.8832742323084872</v>
      </c>
      <c r="G78" s="34">
        <f t="shared" si="28"/>
        <v>-3.4729743033081202</v>
      </c>
      <c r="H78" s="34">
        <f t="shared" si="28"/>
        <v>-2.9003621337630983</v>
      </c>
      <c r="I78" s="34">
        <f t="shared" si="28"/>
        <v>-2.2663879612509485</v>
      </c>
      <c r="J78" s="34">
        <f t="shared" si="28"/>
        <v>-1.5899885213239915</v>
      </c>
      <c r="K78" s="34">
        <f t="shared" si="28"/>
        <v>-1.519216880635273</v>
      </c>
      <c r="L78" s="34">
        <f t="shared" si="28"/>
        <v>-1.4634871172948447</v>
      </c>
      <c r="M78" s="34">
        <f t="shared" si="28"/>
        <v>-1.4320555586275645</v>
      </c>
      <c r="N78" s="34">
        <f t="shared" si="28"/>
        <v>-1.4326027318885441</v>
      </c>
      <c r="O78" s="34">
        <f t="shared" si="28"/>
        <v>-1.4650753619683745</v>
      </c>
      <c r="P78" s="34">
        <f t="shared" si="28"/>
        <v>-1.5207620620484947</v>
      </c>
      <c r="Q78" s="34">
        <f t="shared" si="28"/>
        <v>-1.6147809430229381</v>
      </c>
      <c r="R78" s="34">
        <f t="shared" si="28"/>
        <v>-1.7423603109196306</v>
      </c>
      <c r="S78" s="34">
        <f t="shared" si="28"/>
        <v>-1.8832141522812735</v>
      </c>
      <c r="T78" s="34">
        <f t="shared" si="28"/>
        <v>-2.0398170017517012</v>
      </c>
      <c r="U78" s="34">
        <f t="shared" si="28"/>
        <v>-2.2196783364497481</v>
      </c>
      <c r="V78" s="34">
        <f t="shared" si="28"/>
        <v>-2.4239067170880029</v>
      </c>
      <c r="W78" s="34">
        <f t="shared" si="28"/>
        <v>-2.6626830573081515</v>
      </c>
    </row>
    <row r="79" spans="2:23" x14ac:dyDescent="0.2">
      <c r="B79" s="35" t="s">
        <v>123</v>
      </c>
      <c r="C79" s="35"/>
      <c r="D79" s="285">
        <f>'Input data'!D45</f>
        <v>22.366195594702013</v>
      </c>
      <c r="E79" s="285">
        <f>'Input data'!E45</f>
        <v>8.1638648438954018</v>
      </c>
      <c r="F79" s="285">
        <f>'Input data'!F45</f>
        <v>3.6361332673542281</v>
      </c>
      <c r="G79" s="49">
        <f>'Input data'!G33+G42-(G$12-F$12)/'Input data'!$C$64*100</f>
        <v>4.7503461202103532</v>
      </c>
      <c r="H79" s="49">
        <f>'Input data'!H33+H42-(H$12-G$12)/'Input data'!$C$64*100</f>
        <v>4.4654573702103537</v>
      </c>
      <c r="I79" s="49">
        <f>'Input data'!I33+I42-(I$12-H$12)/'Input data'!$C$64*100</f>
        <v>4.2539706202103531</v>
      </c>
      <c r="J79" s="49">
        <f>'Input data'!J33+J42-(J$12-I$12)/'Input data'!$C$64*100</f>
        <v>4.0864718702103531</v>
      </c>
      <c r="K79" s="49">
        <f>'Input data'!K33+K42-(K$12-J$12)/'Input data'!$C$64*100</f>
        <v>5.5596879999999995</v>
      </c>
      <c r="L79" s="49">
        <f>'Input data'!L33+L42-(L$12-K$12)/'Input data'!$C$64*100</f>
        <v>5.4909772500000003</v>
      </c>
      <c r="M79" s="49">
        <f>'Input data'!M33+M42-(M$12-L$12)/'Input data'!$C$64*100</f>
        <v>5.3812804999999999</v>
      </c>
      <c r="N79" s="49">
        <f>'Input data'!N33+N42-(N$12-M$12)/'Input data'!$C$64*100</f>
        <v>5.1812727499999998</v>
      </c>
      <c r="O79" s="49">
        <f>'Input data'!O33+O42-(O$12-N$12)/'Input data'!$C$64*100</f>
        <v>5.0926849999999995</v>
      </c>
      <c r="P79" s="49">
        <f>'Input data'!P33+P42-(P$12-O$12)/'Input data'!$C$64*100</f>
        <v>5.0442130000000001</v>
      </c>
      <c r="Q79" s="49">
        <f>'Input data'!Q33+Q42-(Q$12-P$12)/'Input data'!$C$64*100</f>
        <v>4.9957409999999998</v>
      </c>
      <c r="R79" s="49">
        <f>'Input data'!R33+R42-(R$12-Q$12)/'Input data'!$C$64*100</f>
        <v>4.9472690000000004</v>
      </c>
      <c r="S79" s="49">
        <f>'Input data'!S33+S42-(S$12-R$12)/'Input data'!$C$64*100</f>
        <v>4.9290859999999999</v>
      </c>
      <c r="T79" s="49">
        <f>'Input data'!T33+T42-(T$12-S$12)/'Input data'!$C$64*100</f>
        <v>4.8651499999999999</v>
      </c>
      <c r="U79" s="49">
        <f>'Input data'!U33+U42-(U$12-T$12)/'Input data'!$C$64*100</f>
        <v>4.7999669999999997</v>
      </c>
      <c r="V79" s="49">
        <f>'Input data'!V33+V42-(V$12-U$12)/'Input data'!$C$64*100</f>
        <v>4.7552560000000001</v>
      </c>
      <c r="W79" s="49">
        <f>'Input data'!W33+W42-(W$12-V$12)/'Input data'!$C$64*100</f>
        <v>4.7271320000000001</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4.3890614952103535</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218</v>
      </c>
      <c r="C83" s="51"/>
      <c r="D83" s="51"/>
      <c r="E83" s="51"/>
      <c r="F83" s="51"/>
      <c r="G83" s="258"/>
      <c r="H83" s="258"/>
      <c r="I83" s="258"/>
      <c r="J83" s="258"/>
      <c r="K83" s="258">
        <f t="shared" ref="K83:W83" si="29">IF(K57&lt;J57,0,1)</f>
        <v>0</v>
      </c>
      <c r="L83" s="258">
        <f t="shared" si="29"/>
        <v>0</v>
      </c>
      <c r="M83" s="258">
        <f t="shared" si="29"/>
        <v>0</v>
      </c>
      <c r="N83" s="258">
        <f t="shared" si="29"/>
        <v>0</v>
      </c>
      <c r="O83" s="258">
        <f t="shared" si="29"/>
        <v>0</v>
      </c>
      <c r="P83" s="258">
        <f t="shared" si="29"/>
        <v>0</v>
      </c>
      <c r="Q83" s="258">
        <f t="shared" si="29"/>
        <v>0</v>
      </c>
      <c r="R83" s="258">
        <f t="shared" si="29"/>
        <v>0</v>
      </c>
      <c r="S83" s="258">
        <f t="shared" si="29"/>
        <v>0</v>
      </c>
      <c r="T83" s="258">
        <f t="shared" si="29"/>
        <v>0</v>
      </c>
      <c r="U83" s="78">
        <f t="shared" si="29"/>
        <v>0</v>
      </c>
      <c r="V83" s="78">
        <f t="shared" si="29"/>
        <v>0</v>
      </c>
      <c r="W83" s="78">
        <f t="shared" si="29"/>
        <v>1</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1</v>
      </c>
      <c r="E87" s="29">
        <f t="shared" si="30"/>
        <v>1</v>
      </c>
      <c r="F87" s="29">
        <f t="shared" si="30"/>
        <v>1</v>
      </c>
      <c r="G87" s="29">
        <f t="shared" si="30"/>
        <v>1</v>
      </c>
      <c r="H87" s="29">
        <f t="shared" si="30"/>
        <v>1</v>
      </c>
      <c r="I87" s="29">
        <f t="shared" si="30"/>
        <v>1</v>
      </c>
      <c r="J87" s="29">
        <f t="shared" si="30"/>
        <v>1</v>
      </c>
      <c r="K87" s="29">
        <f t="shared" si="30"/>
        <v>1</v>
      </c>
      <c r="L87" s="29">
        <f t="shared" si="30"/>
        <v>1</v>
      </c>
      <c r="M87" s="29">
        <f t="shared" si="30"/>
        <v>1</v>
      </c>
      <c r="N87" s="29">
        <f t="shared" si="30"/>
        <v>1</v>
      </c>
      <c r="O87" s="29">
        <f t="shared" si="30"/>
        <v>1</v>
      </c>
      <c r="P87" s="29">
        <f t="shared" si="30"/>
        <v>1</v>
      </c>
      <c r="Q87" s="29">
        <f t="shared" si="30"/>
        <v>1</v>
      </c>
      <c r="R87" s="29">
        <f t="shared" si="30"/>
        <v>1</v>
      </c>
      <c r="S87" s="29">
        <f t="shared" si="30"/>
        <v>1</v>
      </c>
      <c r="T87" s="29">
        <f t="shared" si="30"/>
        <v>1</v>
      </c>
      <c r="U87" s="29">
        <f t="shared" si="30"/>
        <v>1</v>
      </c>
      <c r="V87" s="29">
        <f t="shared" si="30"/>
        <v>1</v>
      </c>
      <c r="W87" s="29">
        <f t="shared" si="30"/>
        <v>1</v>
      </c>
    </row>
    <row r="88" spans="2:23" x14ac:dyDescent="0.2">
      <c r="B88" s="26" t="s">
        <v>126</v>
      </c>
      <c r="D88" s="29">
        <f t="shared" ref="D88:W88" si="31">IF(AND(D87=0,ABS(D92-C92*D43/((1+D24/100)*(1+D42/100)))&lt;((C98*C92*D43/((1+D24/100)*(1+D42/100))+(D39*C92*C99*D43/((1+D24/100)*(1+D42/100)))))),1,0)</f>
        <v>0</v>
      </c>
      <c r="E88" s="29">
        <f t="shared" si="31"/>
        <v>0</v>
      </c>
      <c r="F88" s="29">
        <f t="shared" si="31"/>
        <v>0</v>
      </c>
      <c r="G88" s="29">
        <f t="shared" si="31"/>
        <v>0</v>
      </c>
      <c r="H88" s="29">
        <f t="shared" si="31"/>
        <v>0</v>
      </c>
      <c r="I88" s="29">
        <f t="shared" si="31"/>
        <v>0</v>
      </c>
      <c r="J88" s="29">
        <f t="shared" si="31"/>
        <v>0</v>
      </c>
      <c r="K88" s="29">
        <f t="shared" si="31"/>
        <v>0</v>
      </c>
      <c r="L88" s="29">
        <f t="shared" si="31"/>
        <v>0</v>
      </c>
      <c r="M88" s="29">
        <f t="shared" si="31"/>
        <v>0</v>
      </c>
      <c r="N88" s="29">
        <f t="shared" si="31"/>
        <v>0</v>
      </c>
      <c r="O88" s="29">
        <f t="shared" si="31"/>
        <v>0</v>
      </c>
      <c r="P88" s="29">
        <f t="shared" si="31"/>
        <v>0</v>
      </c>
      <c r="Q88" s="29">
        <f t="shared" si="31"/>
        <v>0</v>
      </c>
      <c r="R88" s="29">
        <f t="shared" si="31"/>
        <v>0</v>
      </c>
      <c r="S88" s="29">
        <f t="shared" si="31"/>
        <v>0</v>
      </c>
      <c r="T88" s="29">
        <f t="shared" si="31"/>
        <v>0</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76.688640000000007</v>
      </c>
      <c r="D92" s="110">
        <f>D57</f>
        <v>74.056958506530165</v>
      </c>
      <c r="E92" s="110">
        <f>E57</f>
        <v>73.520357526734585</v>
      </c>
      <c r="F92" s="110">
        <f>F57</f>
        <v>74.287964673525892</v>
      </c>
      <c r="G92" s="110">
        <f>G57</f>
        <v>73.854222000134087</v>
      </c>
      <c r="H92" s="110">
        <f t="shared" ref="H92:W92" si="32">G92*(1+H106/100)*H43-H60-H61+H62+H63+H64+H65+H66+H72</f>
        <v>73.145093744834043</v>
      </c>
      <c r="I92" s="110">
        <f t="shared" si="32"/>
        <v>71.995695653916627</v>
      </c>
      <c r="J92" s="110">
        <f t="shared" si="32"/>
        <v>70.351529341469316</v>
      </c>
      <c r="K92" s="110">
        <f t="shared" si="32"/>
        <v>68.220207862620057</v>
      </c>
      <c r="L92" s="110">
        <f t="shared" si="32"/>
        <v>66.005551885247996</v>
      </c>
      <c r="M92" s="110">
        <f t="shared" si="32"/>
        <v>63.75887384584049</v>
      </c>
      <c r="N92" s="110">
        <f t="shared" si="32"/>
        <v>62.01479797603222</v>
      </c>
      <c r="O92" s="110">
        <f t="shared" si="32"/>
        <v>60.440781226386001</v>
      </c>
      <c r="P92" s="110">
        <f t="shared" si="32"/>
        <v>59.026867815732444</v>
      </c>
      <c r="Q92" s="110">
        <f t="shared" si="32"/>
        <v>57.802291982818247</v>
      </c>
      <c r="R92" s="110">
        <f t="shared" si="32"/>
        <v>56.790330100508967</v>
      </c>
      <c r="S92" s="110">
        <f t="shared" si="32"/>
        <v>55.977034476616254</v>
      </c>
      <c r="T92" s="110">
        <f t="shared" si="32"/>
        <v>55.392400142926775</v>
      </c>
      <c r="U92" s="110">
        <f t="shared" si="32"/>
        <v>55.048814322300672</v>
      </c>
      <c r="V92" s="110">
        <f t="shared" si="32"/>
        <v>54.948375777158141</v>
      </c>
      <c r="W92" s="110">
        <f t="shared" si="32"/>
        <v>55.105753385165237</v>
      </c>
    </row>
    <row r="93" spans="2:23" x14ac:dyDescent="0.2">
      <c r="B93" s="26" t="s">
        <v>127</v>
      </c>
      <c r="C93" s="34"/>
      <c r="D93" s="254">
        <f>'Input data'!C66*$D$92</f>
        <v>59.783430721748879</v>
      </c>
      <c r="E93" s="34">
        <f t="shared" ref="E93:W93" si="33">IF(E92=0,0,IF(E87=1,D92*E43/((1+E24/100)*(1+E42/100))-E94-E95,IF(AND(E87=0,E88=1),(1-D98-E39*D99)*D92*E43/((1+E24/100)*(1+E42/100)),E92)))</f>
        <v>57.543983859764531</v>
      </c>
      <c r="F93" s="34">
        <f t="shared" si="33"/>
        <v>60.461160881524357</v>
      </c>
      <c r="G93" s="34">
        <f t="shared" si="33"/>
        <v>61.088794442536802</v>
      </c>
      <c r="H93" s="34">
        <f t="shared" si="33"/>
        <v>60.983492914591722</v>
      </c>
      <c r="I93" s="34">
        <f t="shared" si="33"/>
        <v>60.396800799453061</v>
      </c>
      <c r="J93" s="34">
        <f t="shared" si="33"/>
        <v>59.435195481754349</v>
      </c>
      <c r="K93" s="34">
        <f t="shared" si="33"/>
        <v>57.726509990851135</v>
      </c>
      <c r="L93" s="34">
        <f t="shared" si="33"/>
        <v>55.937822803588887</v>
      </c>
      <c r="M93" s="34">
        <f t="shared" si="33"/>
        <v>54.10583180899269</v>
      </c>
      <c r="N93" s="34">
        <f t="shared" si="33"/>
        <v>52.51935793044013</v>
      </c>
      <c r="O93" s="34">
        <f t="shared" si="33"/>
        <v>51.056602373619377</v>
      </c>
      <c r="P93" s="34">
        <f t="shared" si="33"/>
        <v>49.779755056982538</v>
      </c>
      <c r="Q93" s="34">
        <f t="shared" si="33"/>
        <v>48.633678975591494</v>
      </c>
      <c r="R93" s="34">
        <f t="shared" si="33"/>
        <v>47.642532260247499</v>
      </c>
      <c r="S93" s="34">
        <f t="shared" si="33"/>
        <v>46.811699355107798</v>
      </c>
      <c r="T93" s="34">
        <f t="shared" si="33"/>
        <v>46.164962830740535</v>
      </c>
      <c r="U93" s="34">
        <f t="shared" si="33"/>
        <v>45.706499197947984</v>
      </c>
      <c r="V93" s="34">
        <f t="shared" si="33"/>
        <v>45.437105766787909</v>
      </c>
      <c r="W93" s="34">
        <f t="shared" si="33"/>
        <v>45.360606701449861</v>
      </c>
    </row>
    <row r="94" spans="2:23" x14ac:dyDescent="0.2">
      <c r="B94" s="105" t="s">
        <v>128</v>
      </c>
      <c r="C94" s="34"/>
      <c r="D94" s="254">
        <f>'Input data'!C67*$D$92</f>
        <v>3.8296324056498476</v>
      </c>
      <c r="E94" s="34">
        <f t="shared" ref="E94:W94" si="34">IF(E92=0,0,IF(E87=1,E39*D92*D99*E43/((1+E24/100)*(1+E42/100)),IF(AND(E87=0,E88=1),(E39*D92*D99*E43/((1+E24/100)*(1+E42/100)))*(1-ABS(E92-D92*E43/((1+E24/100)*(1+E42/100)))/((E39*D92*D99*E43/((1+E24/100)*(1+E42/100)))+(D98*D92*E43/((1+E24/100)*(1+E42/100))))),0)))</f>
        <v>3.0580010029883016</v>
      </c>
      <c r="F94" s="34">
        <f t="shared" si="34"/>
        <v>4.3719460048068246</v>
      </c>
      <c r="G94" s="34">
        <f t="shared" si="34"/>
        <v>4.5004929839320518</v>
      </c>
      <c r="H94" s="34">
        <f t="shared" si="34"/>
        <v>4.5759657916840011</v>
      </c>
      <c r="I94" s="34">
        <f t="shared" si="34"/>
        <v>4.6145823022394827</v>
      </c>
      <c r="J94" s="34">
        <f t="shared" si="34"/>
        <v>4.6226425646089</v>
      </c>
      <c r="K94" s="34">
        <f t="shared" si="34"/>
        <v>4.5691368600102011</v>
      </c>
      <c r="L94" s="34">
        <f t="shared" si="34"/>
        <v>4.5046856643254136</v>
      </c>
      <c r="M94" s="34">
        <f t="shared" si="34"/>
        <v>4.4319459520729829</v>
      </c>
      <c r="N94" s="34">
        <f t="shared" si="34"/>
        <v>4.3747777823917922</v>
      </c>
      <c r="O94" s="34">
        <f t="shared" si="34"/>
        <v>4.3238708767695906</v>
      </c>
      <c r="P94" s="34">
        <f t="shared" si="34"/>
        <v>4.2157374979347315</v>
      </c>
      <c r="Q94" s="34">
        <f t="shared" si="34"/>
        <v>4.1186788461539878</v>
      </c>
      <c r="R94" s="34">
        <f t="shared" si="34"/>
        <v>4.0347408201623471</v>
      </c>
      <c r="S94" s="34">
        <f t="shared" si="34"/>
        <v>3.9643794166418576</v>
      </c>
      <c r="T94" s="34">
        <f t="shared" si="34"/>
        <v>3.9096087289609307</v>
      </c>
      <c r="U94" s="34">
        <f t="shared" si="34"/>
        <v>3.8707824565939712</v>
      </c>
      <c r="V94" s="34">
        <f t="shared" si="34"/>
        <v>3.8479681219686035</v>
      </c>
      <c r="W94" s="34">
        <f t="shared" si="34"/>
        <v>3.8414895851028943</v>
      </c>
    </row>
    <row r="95" spans="2:23" x14ac:dyDescent="0.2">
      <c r="B95" s="105" t="s">
        <v>129</v>
      </c>
      <c r="C95" s="34"/>
      <c r="D95" s="254">
        <f>'Input data'!C68*$D$92</f>
        <v>3.9703023838181903</v>
      </c>
      <c r="E95" s="34">
        <f t="shared" ref="E95:W95" si="35">IF(E92=0,0,IF(E87=1,(1-D99)*D92*E43/((1+E24/100)*(1+E42/100)),IF(AND(E87=0,E88=1),(D98*D92*E43/((1+E24/100)*(1+E42/100)))*(1-ABS(E92-D92*E43/((1+E24/100)*(1+E42/100)))/((E39*D92*D99*E43/((1+E24/100)*(1+E42/100)))+(D98*D92*E43/((1+E24/100)*(1+E42/100))))),0)))</f>
        <v>3.782375114175264</v>
      </c>
      <c r="F95" s="34">
        <f t="shared" si="35"/>
        <v>4.0990544829312858</v>
      </c>
      <c r="G95" s="34">
        <f t="shared" si="35"/>
        <v>4.1739319155383994</v>
      </c>
      <c r="H95" s="34">
        <f t="shared" si="35"/>
        <v>4.1913356458815203</v>
      </c>
      <c r="I95" s="34">
        <f t="shared" si="35"/>
        <v>4.1714503499122033</v>
      </c>
      <c r="J95" s="34">
        <f t="shared" si="35"/>
        <v>4.1222592011112278</v>
      </c>
      <c r="K95" s="34">
        <f t="shared" si="35"/>
        <v>4.0177150826762285</v>
      </c>
      <c r="L95" s="34">
        <f t="shared" si="35"/>
        <v>3.9057417758152373</v>
      </c>
      <c r="M95" s="34">
        <f t="shared" si="35"/>
        <v>3.7890405261472577</v>
      </c>
      <c r="N95" s="34">
        <f t="shared" si="35"/>
        <v>3.6880599758760337</v>
      </c>
      <c r="O95" s="34">
        <f t="shared" si="35"/>
        <v>3.5952343924800703</v>
      </c>
      <c r="P95" s="34">
        <f t="shared" si="35"/>
        <v>3.510615866807751</v>
      </c>
      <c r="Q95" s="34">
        <f t="shared" si="35"/>
        <v>3.4351549961694237</v>
      </c>
      <c r="R95" s="34">
        <f t="shared" si="35"/>
        <v>3.3706989324258316</v>
      </c>
      <c r="S95" s="34">
        <f t="shared" si="35"/>
        <v>3.3177424403505698</v>
      </c>
      <c r="T95" s="34">
        <f t="shared" si="35"/>
        <v>3.2780124692388513</v>
      </c>
      <c r="U95" s="34">
        <f t="shared" si="35"/>
        <v>3.2518556647080397</v>
      </c>
      <c r="V95" s="34">
        <f t="shared" si="35"/>
        <v>3.2393978420642773</v>
      </c>
      <c r="W95" s="34">
        <f t="shared" si="35"/>
        <v>3.2409771579161792</v>
      </c>
    </row>
    <row r="96" spans="2:23" x14ac:dyDescent="0.2">
      <c r="B96" s="105" t="s">
        <v>130</v>
      </c>
      <c r="C96" s="34"/>
      <c r="D96" s="254">
        <f>'Input data'!C69*$D$92</f>
        <v>6.0932860543360015</v>
      </c>
      <c r="E96" s="34">
        <f>IF(E92=0,0,IF(E87=1,'Input data'!$C$58*(E92-D92*E43/((1+E24/100)*(1+E42/100))),0))</f>
        <v>8.5464808631096361</v>
      </c>
      <c r="F96" s="34">
        <f>IF(F92=0,0,IF(F87=1,'Input data'!$C$58*(F92-E92*F43/((1+F24/100)*(1+F42/100))),0))</f>
        <v>5.0102104556098732</v>
      </c>
      <c r="G96" s="34">
        <f>IF(G92=0,0,IF(G87=1,'Input data'!$C$58*(G92-F92*G43/((1+G24/100)*(1+G42/100))),0))</f>
        <v>3.8270233478064206</v>
      </c>
      <c r="H96" s="34">
        <f>IF(H92=0,0,IF(H87=1,'Input data'!$C$58*(H92-G92*H43/((1+H24/100)*(1+H42/100))),0))</f>
        <v>3.1752761146254223</v>
      </c>
      <c r="I96" s="34">
        <f>IF(I92=0,0,IF(I87=1,'Input data'!$C$58*(I92-H92*I43/((1+I24/100)*(1+I42/100))),0))</f>
        <v>2.6313572055557386</v>
      </c>
      <c r="J96" s="34">
        <f>IF(J92=0,0,IF(J87=1,'Input data'!$C$58*(J92-I92*J43/((1+J24/100)*(1+J42/100))),0))</f>
        <v>2.0313165295520519</v>
      </c>
      <c r="K96" s="34">
        <f>IF(K92=0,0,IF(K87=1,'Input data'!$C$58*(K92-J92*K43/((1+K24/100)*(1+K42/100))),0))</f>
        <v>1.783803263185773</v>
      </c>
      <c r="L96" s="34">
        <f>IF(L92=0,0,IF(L87=1,'Input data'!$C$58*(L92-K92*L43/((1+L24/100)*(1+L42/100))),0))</f>
        <v>1.550361269956525</v>
      </c>
      <c r="M96" s="34">
        <f>IF(M92=0,0,IF(M87=1,'Input data'!$C$58*(M92-L92*M43/((1+M24/100)*(1+M42/100))),0))</f>
        <v>1.3396495960071115</v>
      </c>
      <c r="N96" s="34">
        <f>IF(N92=0,0,IF(N87=1,'Input data'!$C$58*(N92-M92*N43/((1+N24/100)*(1+N42/100))),0))</f>
        <v>1.3401610460505429</v>
      </c>
      <c r="O96" s="34">
        <f>IF(O92=0,0,IF(O87=1,'Input data'!$C$58*(O92-N92*O43/((1+O24/100)*(1+O42/100))),0))</f>
        <v>1.3705370734080791</v>
      </c>
      <c r="P96" s="34">
        <f>IF(P92=0,0,IF(P87=1,'Input data'!$C$58*(P92-O92*P43/((1+P24/100)*(1+P42/100))),0))</f>
        <v>1.4226296567421823</v>
      </c>
      <c r="Q96" s="34">
        <f>IF(Q92=0,0,IF(Q87=1,'Input data'!$C$58*(Q92-P92*Q43/((1+Q24/100)*(1+Q42/100))),0))</f>
        <v>1.5105826326854546</v>
      </c>
      <c r="R96" s="34">
        <f>IF(R92=0,0,IF(R87=1,'Input data'!$C$58*(R92-Q92*R43/((1+R24/100)*(1+R42/100))),0))</f>
        <v>1.6299292958216118</v>
      </c>
      <c r="S96" s="34">
        <f>IF(S92=0,0,IF(S87=1,'Input data'!$C$58*(S92-R92*S43/((1+S24/100)*(1+S42/100))),0))</f>
        <v>1.761695538839257</v>
      </c>
      <c r="T96" s="34">
        <f>IF(T92=0,0,IF(T87=1,'Input data'!$C$58*(T92-S92*T43/((1+T24/100)*(1+T42/100))),0))</f>
        <v>1.9081933075624731</v>
      </c>
      <c r="U96" s="34">
        <f>IF(U92=0,0,IF(U87=1,'Input data'!$C$58*(U92-T92*U43/((1+U24/100)*(1+U42/100))),0))</f>
        <v>2.0764483490102266</v>
      </c>
      <c r="V96" s="34">
        <f>IF(V92=0,0,IF(V87=1,'Input data'!$C$58*(V92-U92*V43/((1+V24/100)*(1+V42/100))),0))</f>
        <v>2.2674972747201476</v>
      </c>
      <c r="W96" s="34">
        <f>IF(W92=0,0,IF(W87=1,'Input data'!$C$58*(W92-V92*W43/((1+W24/100)*(1+W42/100))),0))</f>
        <v>2.4908657246989847</v>
      </c>
    </row>
    <row r="97" spans="2:25" x14ac:dyDescent="0.2">
      <c r="B97" s="107" t="s">
        <v>131</v>
      </c>
      <c r="C97" s="49"/>
      <c r="D97" s="255">
        <f>'Input data'!C70*$D$92</f>
        <v>0.38030214097798132</v>
      </c>
      <c r="E97" s="49">
        <f>IF(E92=0,0,IF(E87=1,'Input data'!$C$57*(E92-D92*E43/((1+E24/100)*(1+E42/100))),0))</f>
        <v>0.58951668669685331</v>
      </c>
      <c r="F97" s="49">
        <f>IF(F92=0,0,IF(F87=1,'Input data'!$C$57*(F92-E92*F43/((1+F24/100)*(1+F42/100))),0))</f>
        <v>0.34559284865354467</v>
      </c>
      <c r="G97" s="49">
        <f>IF(G92=0,0,IF(G87=1,'Input data'!$C$57*(G92-F92*G43/((1+G24/100)*(1+G42/100))),0))</f>
        <v>0.26397931032041894</v>
      </c>
      <c r="H97" s="49">
        <f>IF(H92=0,0,IF(H87=1,'Input data'!$C$57*(H92-G92*H43/((1+H24/100)*(1+H42/100))),0))</f>
        <v>0.21902327805137731</v>
      </c>
      <c r="I97" s="49">
        <f>IF(I92=0,0,IF(I87=1,'Input data'!$C$57*(I92-H92*I43/((1+I24/100)*(1+I42/100))),0))</f>
        <v>0.18150499675613799</v>
      </c>
      <c r="J97" s="49">
        <f>IF(J92=0,0,IF(J87=1,'Input data'!$C$57*(J92-I92*J43/((1+J24/100)*(1+J42/100))),0))</f>
        <v>0.14011556444278611</v>
      </c>
      <c r="K97" s="49">
        <f>IF(K92=0,0,IF(K87=1,'Input data'!$C$57*(K92-J92*K43/((1+K24/100)*(1+K42/100))),0))</f>
        <v>0.12304266589672022</v>
      </c>
      <c r="L97" s="49">
        <f>IF(L92=0,0,IF(L87=1,'Input data'!$C$57*(L92-K92*L43/((1+L24/100)*(1+L42/100))),0))</f>
        <v>0.10694037156193324</v>
      </c>
      <c r="M97" s="49">
        <f>IF(M92=0,0,IF(M87=1,'Input data'!$C$57*(M92-L92*M43/((1+M24/100)*(1+M42/100))),0))</f>
        <v>9.2405962620448853E-2</v>
      </c>
      <c r="N97" s="49">
        <f>IF(N92=0,0,IF(N87=1,'Input data'!$C$57*(N92-M92*N43/((1+N24/100)*(1+N42/100))),0))</f>
        <v>9.2441241273714919E-2</v>
      </c>
      <c r="O97" s="49">
        <f>IF(O92=0,0,IF(O87=1,'Input data'!$C$57*(O92-N92*O43/((1+O24/100)*(1+O42/100))),0))</f>
        <v>9.4536510108882255E-2</v>
      </c>
      <c r="P97" s="49">
        <f>IF(P92=0,0,IF(P87=1,'Input data'!$C$57*(P92-O92*P43/((1+P24/100)*(1+P42/100))),0))</f>
        <v>9.8129737265238007E-2</v>
      </c>
      <c r="Q97" s="49">
        <f>IF(Q92=0,0,IF(Q87=1,'Input data'!$C$57*(Q92-P92*Q43/((1+Q24/100)*(1+Q42/100))),0))</f>
        <v>0.10419653221788479</v>
      </c>
      <c r="R97" s="49">
        <f>IF(R92=0,0,IF(R87=1,'Input data'!$C$57*(R92-Q92*R43/((1+R24/100)*(1+R42/100))),0))</f>
        <v>0.11242879185167674</v>
      </c>
      <c r="S97" s="49">
        <f>IF(S92=0,0,IF(S87=1,'Input data'!$C$57*(S92-R92*S43/((1+S24/100)*(1+S42/100))),0))</f>
        <v>0.12151772567677295</v>
      </c>
      <c r="T97" s="49">
        <f>IF(T92=0,0,IF(T87=1,'Input data'!$C$57*(T92-S92*T43/((1+T24/100)*(1+T42/100))),0))</f>
        <v>0.13162280642398111</v>
      </c>
      <c r="U97" s="49">
        <f>IF(U92=0,0,IF(U87=1,'Input data'!$C$57*(U92-T92*U43/((1+U24/100)*(1+U42/100))),0))</f>
        <v>0.1432286540404504</v>
      </c>
      <c r="V97" s="49">
        <f>IF(V92=0,0,IF(V87=1,'Input data'!$C$57*(V92-U92*V43/((1+V24/100)*(1+V42/100))),0))</f>
        <v>0.15640677161720082</v>
      </c>
      <c r="W97" s="49">
        <f>IF(W92=0,0,IF(W87=1,'Input data'!$C$57*(W92-V92*W43/((1+W24/100)*(1+W42/100))),0))</f>
        <v>0.17181421599732247</v>
      </c>
    </row>
    <row r="98" spans="2:25" x14ac:dyDescent="0.2">
      <c r="B98" s="26" t="s">
        <v>73</v>
      </c>
      <c r="C98" s="36"/>
      <c r="D98" s="260">
        <f>'Baseline NFPC'!$D$93</f>
        <v>5.8746799929838001E-2</v>
      </c>
      <c r="E98" s="36">
        <f t="shared" ref="E98:W98" si="36">IF(E92&lt;&gt;0,(E95+E97)/(E93+E94+E95+E96+E97),0)</f>
        <v>5.9465050877674841E-2</v>
      </c>
      <c r="F98" s="36">
        <f t="shared" si="36"/>
        <v>5.9829978531755049E-2</v>
      </c>
      <c r="G98" s="36">
        <f t="shared" si="36"/>
        <v>6.009014929235542E-2</v>
      </c>
      <c r="H98" s="36">
        <f t="shared" si="36"/>
        <v>6.0296032148354238E-2</v>
      </c>
      <c r="I98" s="36">
        <f t="shared" si="36"/>
        <v>6.0461327682602053E-2</v>
      </c>
      <c r="J98" s="36">
        <f t="shared" si="36"/>
        <v>6.05868103430343E-2</v>
      </c>
      <c r="K98" s="36">
        <f t="shared" si="36"/>
        <v>6.0696938316451489E-2</v>
      </c>
      <c r="L98" s="36">
        <f t="shared" si="36"/>
        <v>6.0793100470598306E-2</v>
      </c>
      <c r="M98" s="36">
        <f t="shared" si="36"/>
        <v>6.0876961192138826E-2</v>
      </c>
      <c r="N98" s="36">
        <f t="shared" si="36"/>
        <v>6.0961276026584091E-2</v>
      </c>
      <c r="O98" s="36">
        <f t="shared" si="36"/>
        <v>6.1047703681535934E-2</v>
      </c>
      <c r="P98" s="36">
        <f t="shared" si="36"/>
        <v>6.1137338598731286E-2</v>
      </c>
      <c r="Q98" s="36">
        <f t="shared" si="36"/>
        <v>6.123202743308833E-2</v>
      </c>
      <c r="R98" s="36">
        <f t="shared" si="36"/>
        <v>6.1333112840037743E-2</v>
      </c>
      <c r="S98" s="36">
        <f t="shared" si="36"/>
        <v>6.1440556795913384E-2</v>
      </c>
      <c r="T98" s="36">
        <f t="shared" si="36"/>
        <v>6.1554207199274416E-2</v>
      </c>
      <c r="U98" s="36">
        <f>IF(U92&lt;&gt;0,(U95+U97)/(U93+U94+U95+U96+U97),0)</f>
        <v>6.16740680166315E-2</v>
      </c>
      <c r="V98" s="36">
        <f t="shared" si="36"/>
        <v>6.1799908835396419E-2</v>
      </c>
      <c r="W98" s="34">
        <f t="shared" si="36"/>
        <v>6.1931670728818007E-2</v>
      </c>
    </row>
    <row r="99" spans="2:25" x14ac:dyDescent="0.2">
      <c r="B99" s="35" t="s">
        <v>74</v>
      </c>
      <c r="C99" s="108"/>
      <c r="D99" s="261">
        <f>'Baseline NFPC'!$D$94</f>
        <v>0.941253200070162</v>
      </c>
      <c r="E99" s="108">
        <f t="shared" ref="E99:W99" si="37">IF(E92&lt;&gt;0,(E93+E94+E96)/(E93+E94+E95+E96+E97),1)</f>
        <v>0.94053494912232516</v>
      </c>
      <c r="F99" s="108">
        <f t="shared" si="37"/>
        <v>0.94017002146824513</v>
      </c>
      <c r="G99" s="108">
        <f t="shared" si="37"/>
        <v>0.93990985070764443</v>
      </c>
      <c r="H99" s="108">
        <f t="shared" si="37"/>
        <v>0.93970396785164567</v>
      </c>
      <c r="I99" s="108">
        <f t="shared" si="37"/>
        <v>0.93953867231739796</v>
      </c>
      <c r="J99" s="108">
        <f t="shared" si="37"/>
        <v>0.93941318965696574</v>
      </c>
      <c r="K99" s="108">
        <f t="shared" si="37"/>
        <v>0.93930306168354849</v>
      </c>
      <c r="L99" s="108">
        <f t="shared" si="37"/>
        <v>0.93920689952940173</v>
      </c>
      <c r="M99" s="108">
        <f t="shared" si="37"/>
        <v>0.93912303880786119</v>
      </c>
      <c r="N99" s="108">
        <f t="shared" si="37"/>
        <v>0.93903872397341581</v>
      </c>
      <c r="O99" s="108">
        <f t="shared" si="37"/>
        <v>0.938952296318464</v>
      </c>
      <c r="P99" s="108">
        <f t="shared" si="37"/>
        <v>0.93886266140126862</v>
      </c>
      <c r="Q99" s="108">
        <f t="shared" si="37"/>
        <v>0.93876797256691169</v>
      </c>
      <c r="R99" s="108">
        <f t="shared" si="37"/>
        <v>0.93866688715996227</v>
      </c>
      <c r="S99" s="108">
        <f t="shared" si="37"/>
        <v>0.93855944320408657</v>
      </c>
      <c r="T99" s="108">
        <f t="shared" si="37"/>
        <v>0.93844579280072549</v>
      </c>
      <c r="U99" s="108">
        <f t="shared" si="37"/>
        <v>0.93832593198336856</v>
      </c>
      <c r="V99" s="108">
        <f t="shared" si="37"/>
        <v>0.93820009116460357</v>
      </c>
      <c r="W99" s="49">
        <f t="shared" si="37"/>
        <v>0.938068329271182</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3.2392629999999998</v>
      </c>
      <c r="D101" s="115">
        <f>'Baseline NFPC'!D96</f>
        <v>4.4184200000000002</v>
      </c>
      <c r="E101" s="115">
        <f>'Baseline NFPC'!E96</f>
        <v>7.2293640000000003</v>
      </c>
      <c r="F101" s="115">
        <f>'Baseline NFPC'!F96</f>
        <v>7.2143069999999998</v>
      </c>
      <c r="G101" s="115">
        <f>'Baseline NFPC'!G96</f>
        <v>5.985741</v>
      </c>
      <c r="H101" s="115">
        <f t="shared" ref="H101:W101" si="38">H103+H104</f>
        <v>6.1006442626004187</v>
      </c>
      <c r="I101" s="115">
        <f t="shared" si="38"/>
        <v>6.1883468017334327</v>
      </c>
      <c r="J101" s="115">
        <f>J103+J104</f>
        <v>6.2553067442008849</v>
      </c>
      <c r="K101" s="115">
        <f t="shared" si="38"/>
        <v>6.3049549272222096</v>
      </c>
      <c r="L101" s="115">
        <f t="shared" si="38"/>
        <v>6.3425560164202812</v>
      </c>
      <c r="M101" s="115">
        <f t="shared" si="38"/>
        <v>6.3696613556191437</v>
      </c>
      <c r="N101" s="115">
        <f t="shared" si="38"/>
        <v>6.3876199729912395</v>
      </c>
      <c r="O101" s="115">
        <f t="shared" si="38"/>
        <v>6.3979038366394372</v>
      </c>
      <c r="P101" s="115">
        <f t="shared" si="38"/>
        <v>6.390278985841106</v>
      </c>
      <c r="Q101" s="115">
        <f t="shared" si="38"/>
        <v>6.3750030271510161</v>
      </c>
      <c r="R101" s="115">
        <f t="shared" si="38"/>
        <v>6.3525864496956164</v>
      </c>
      <c r="S101" s="115">
        <f t="shared" si="38"/>
        <v>6.3234206340670367</v>
      </c>
      <c r="T101" s="115">
        <f t="shared" si="38"/>
        <v>6.287884200570252</v>
      </c>
      <c r="U101" s="115">
        <f t="shared" si="38"/>
        <v>6.2463352685627429</v>
      </c>
      <c r="V101" s="115">
        <f t="shared" si="38"/>
        <v>6.199090271244744</v>
      </c>
      <c r="W101" s="115">
        <f t="shared" si="38"/>
        <v>6.146456615898666</v>
      </c>
    </row>
    <row r="102" spans="2:25" x14ac:dyDescent="0.2">
      <c r="B102" s="33" t="s">
        <v>133</v>
      </c>
      <c r="C102" s="34"/>
      <c r="D102" s="34"/>
      <c r="E102" s="266">
        <f>((E36*D92)-(E38*(D95+D97)))/(D93+D94+D96)</f>
        <v>6.6838324052938667</v>
      </c>
      <c r="F102" s="266">
        <f>((F36*E92)-(F38*(E95+E97)))/(E93+E94+E96)</f>
        <v>7.2001830420087387</v>
      </c>
      <c r="G102" s="266">
        <f>((G36*F92)-(G38*(F95+F97)))/(F93+F94+F96)</f>
        <v>5.9561921810339973</v>
      </c>
      <c r="H102" s="34">
        <f t="shared" ref="H102:W102" si="39">IF(G92&gt;0,(G102*G93+H37*(G96+G94))/(G93+G94+G96),H37)</f>
        <v>6.0800000387567961</v>
      </c>
      <c r="I102" s="34">
        <f t="shared" si="39"/>
        <v>6.1749562434446572</v>
      </c>
      <c r="J102" s="34">
        <f t="shared" si="39"/>
        <v>6.2478926046440657</v>
      </c>
      <c r="K102" s="34">
        <f t="shared" si="39"/>
        <v>6.3024366774977283</v>
      </c>
      <c r="L102" s="34">
        <f t="shared" si="39"/>
        <v>6.3441761965505448</v>
      </c>
      <c r="M102" s="34">
        <f t="shared" si="39"/>
        <v>6.374755190704545</v>
      </c>
      <c r="N102" s="34">
        <f t="shared" si="39"/>
        <v>6.3956043907183409</v>
      </c>
      <c r="O102" s="34">
        <f t="shared" si="39"/>
        <v>6.4082891476638268</v>
      </c>
      <c r="P102" s="34">
        <f t="shared" si="39"/>
        <v>6.4123356525920459</v>
      </c>
      <c r="Q102" s="34">
        <f t="shared" si="39"/>
        <v>6.4082698621893863</v>
      </c>
      <c r="R102" s="34">
        <f t="shared" si="39"/>
        <v>6.396636526953273</v>
      </c>
      <c r="S102" s="34">
        <f t="shared" si="39"/>
        <v>6.3778544102027075</v>
      </c>
      <c r="T102" s="34">
        <f t="shared" si="39"/>
        <v>6.3523280026664573</v>
      </c>
      <c r="U102" s="34">
        <f t="shared" si="39"/>
        <v>6.3204396819354596</v>
      </c>
      <c r="V102" s="34">
        <f t="shared" si="39"/>
        <v>6.282527449553359</v>
      </c>
      <c r="W102" s="34">
        <f t="shared" si="39"/>
        <v>6.2389192444060102</v>
      </c>
    </row>
    <row r="103" spans="2:25" x14ac:dyDescent="0.2">
      <c r="B103" s="26" t="s">
        <v>134</v>
      </c>
      <c r="C103" s="34"/>
      <c r="D103" s="34"/>
      <c r="E103" s="34">
        <f t="shared" ref="E103:W103" si="40">(E102*(D93+D94+D96)+E38*(D95+D97))/D92</f>
        <v>7.2293640000000012</v>
      </c>
      <c r="F103" s="34">
        <f t="shared" si="40"/>
        <v>7.2143069999999998</v>
      </c>
      <c r="G103" s="34">
        <f t="shared" si="40"/>
        <v>5.9857409999999991</v>
      </c>
      <c r="H103" s="34">
        <f t="shared" si="40"/>
        <v>6.1006442626004187</v>
      </c>
      <c r="I103" s="34">
        <f t="shared" si="40"/>
        <v>6.1883468017334327</v>
      </c>
      <c r="J103" s="34">
        <f t="shared" si="40"/>
        <v>6.2553067442008849</v>
      </c>
      <c r="K103" s="34">
        <f t="shared" si="40"/>
        <v>6.3049549272222096</v>
      </c>
      <c r="L103" s="34">
        <f t="shared" si="40"/>
        <v>6.3425560164202812</v>
      </c>
      <c r="M103" s="34">
        <f t="shared" si="40"/>
        <v>6.3696613556191437</v>
      </c>
      <c r="N103" s="34">
        <f t="shared" si="40"/>
        <v>6.3876199729912395</v>
      </c>
      <c r="O103" s="34">
        <f t="shared" si="40"/>
        <v>6.3979038366394372</v>
      </c>
      <c r="P103" s="34">
        <f t="shared" si="40"/>
        <v>6.390278985841106</v>
      </c>
      <c r="Q103" s="34">
        <f t="shared" si="40"/>
        <v>6.3750030271510161</v>
      </c>
      <c r="R103" s="34">
        <f t="shared" si="40"/>
        <v>6.3525864496956164</v>
      </c>
      <c r="S103" s="34">
        <f t="shared" si="40"/>
        <v>6.3234206340670367</v>
      </c>
      <c r="T103" s="34">
        <f t="shared" si="40"/>
        <v>6.287884200570252</v>
      </c>
      <c r="U103" s="34">
        <f t="shared" si="40"/>
        <v>6.2463352685627429</v>
      </c>
      <c r="V103" s="34">
        <f t="shared" si="40"/>
        <v>6.199090271244744</v>
      </c>
      <c r="W103" s="34">
        <f t="shared" si="40"/>
        <v>6.146456615898666</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186</v>
      </c>
      <c r="C106" s="115">
        <f t="shared" ref="C106:W106" si="41">((1+C101/100)/((1+C24/100)*(1+C42/100))-1)*100</f>
        <v>-9.4036063835330364</v>
      </c>
      <c r="D106" s="115">
        <f t="shared" si="41"/>
        <v>-12.59645324791714</v>
      </c>
      <c r="E106" s="115">
        <f t="shared" si="41"/>
        <v>-5.6971512852683421</v>
      </c>
      <c r="F106" s="115">
        <f t="shared" si="41"/>
        <v>-0.58471536016967418</v>
      </c>
      <c r="G106" s="115">
        <f t="shared" si="41"/>
        <v>-0.65999390843156647</v>
      </c>
      <c r="H106" s="115">
        <f t="shared" si="41"/>
        <v>0.20556737539796366</v>
      </c>
      <c r="I106" s="115">
        <f t="shared" si="41"/>
        <v>0.43613775263522392</v>
      </c>
      <c r="J106" s="115">
        <f t="shared" si="41"/>
        <v>0.62403149355139131</v>
      </c>
      <c r="K106" s="115">
        <f t="shared" si="41"/>
        <v>0.20306619350107802</v>
      </c>
      <c r="L106" s="115">
        <f t="shared" si="41"/>
        <v>0.30689762603177684</v>
      </c>
      <c r="M106" s="115">
        <f t="shared" si="41"/>
        <v>0.44128660737339231</v>
      </c>
      <c r="N106" s="115">
        <f t="shared" si="41"/>
        <v>1.0870365691084682</v>
      </c>
      <c r="O106" s="115">
        <f t="shared" si="41"/>
        <v>1.183779924734929</v>
      </c>
      <c r="P106" s="115">
        <f t="shared" si="41"/>
        <v>1.2245506136250972</v>
      </c>
      <c r="Q106" s="115">
        <f t="shared" si="41"/>
        <v>1.2580722519846876</v>
      </c>
      <c r="R106" s="115">
        <f t="shared" si="41"/>
        <v>1.2848107150453814</v>
      </c>
      <c r="S106" s="115">
        <f t="shared" si="41"/>
        <v>1.2749898840014762</v>
      </c>
      <c r="T106" s="115">
        <f t="shared" si="41"/>
        <v>1.3046390558271614</v>
      </c>
      <c r="U106" s="115">
        <f t="shared" si="41"/>
        <v>1.3298254108367047</v>
      </c>
      <c r="V106" s="115">
        <f t="shared" si="41"/>
        <v>1.3291781750723652</v>
      </c>
      <c r="W106" s="115">
        <f t="shared" si="41"/>
        <v>1.3068419483974303</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293</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76.688644409179688</v>
      </c>
      <c r="D113" s="34">
        <v>74.056968688964844</v>
      </c>
      <c r="E113" s="34">
        <v>73.520370483398438</v>
      </c>
      <c r="F113" s="34">
        <v>74.287979125976563</v>
      </c>
      <c r="G113" s="34">
        <v>73.85491943359375</v>
      </c>
      <c r="H113" s="34">
        <v>73.145805358886719</v>
      </c>
      <c r="I113" s="34">
        <v>71.996414184570313</v>
      </c>
      <c r="J113" s="34">
        <v>70.352256774902344</v>
      </c>
      <c r="K113" s="34">
        <v>68.220947265625</v>
      </c>
      <c r="L113" s="34">
        <v>66.006301879882813</v>
      </c>
      <c r="M113" s="34">
        <v>63.759635925292969</v>
      </c>
      <c r="N113" s="34">
        <v>62.015575408935547</v>
      </c>
      <c r="O113" s="34">
        <v>60.441593170166016</v>
      </c>
      <c r="P113" s="34">
        <v>59.027702331542969</v>
      </c>
      <c r="Q113" s="34">
        <v>57.803150177001953</v>
      </c>
      <c r="R113" s="34">
        <v>56.79119873046875</v>
      </c>
      <c r="S113" s="34">
        <v>55.977916717529297</v>
      </c>
      <c r="T113" s="34">
        <v>55.393302917480469</v>
      </c>
      <c r="U113" s="34">
        <v>55.049739837646484</v>
      </c>
      <c r="V113" s="34">
        <v>54.949329376220703</v>
      </c>
      <c r="W113" s="34">
        <v>55.106723785400391</v>
      </c>
      <c r="X113" s="116"/>
      <c r="Y113" s="62"/>
    </row>
    <row r="114" spans="1:51" x14ac:dyDescent="0.2">
      <c r="B114" s="26" t="s">
        <v>132</v>
      </c>
      <c r="C114" s="1">
        <v>3.2392632961273193</v>
      </c>
      <c r="D114" s="1">
        <v>4.4184198379516602</v>
      </c>
      <c r="E114" s="1">
        <v>7.2293639183044434</v>
      </c>
      <c r="F114" s="1">
        <v>7.2143068313598633</v>
      </c>
      <c r="G114" s="1">
        <v>5.9857401847839355</v>
      </c>
      <c r="H114" s="1">
        <v>6.100651741027832</v>
      </c>
      <c r="I114" s="1">
        <v>6.1883535385131836</v>
      </c>
      <c r="J114" s="1">
        <v>6.2553129196166992</v>
      </c>
      <c r="K114" s="1">
        <v>6.3049602508544922</v>
      </c>
      <c r="L114" s="1">
        <v>6.3425607681274414</v>
      </c>
      <c r="M114" s="1">
        <v>6.3696660995483398</v>
      </c>
      <c r="N114" s="1">
        <v>6.3876242637634277</v>
      </c>
      <c r="O114" s="1">
        <v>6.3979077339172363</v>
      </c>
      <c r="P114" s="1">
        <v>6.3902826309204102</v>
      </c>
      <c r="Q114" s="1">
        <v>6.3750061988830566</v>
      </c>
      <c r="R114" s="1">
        <v>6.3525891304016113</v>
      </c>
      <c r="S114" s="1">
        <v>6.323422908782959</v>
      </c>
      <c r="T114" s="1">
        <v>6.2878861427307129</v>
      </c>
      <c r="U114" s="1">
        <v>6.2463374137878418</v>
      </c>
      <c r="V114" s="1">
        <v>6.199091911315918</v>
      </c>
      <c r="W114" s="1">
        <v>6.1464576721191406</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185</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294</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76.688644409179688</v>
      </c>
      <c r="D118" s="34">
        <v>74.056968688964844</v>
      </c>
      <c r="E118" s="34">
        <v>73.520370483398438</v>
      </c>
      <c r="F118" s="34">
        <v>74.287979125976563</v>
      </c>
      <c r="G118" s="34">
        <v>73.887054443359375</v>
      </c>
      <c r="H118" s="34">
        <v>73.4412841796875</v>
      </c>
      <c r="I118" s="34">
        <v>72.793144226074219</v>
      </c>
      <c r="J118" s="34">
        <v>71.892997741699219</v>
      </c>
      <c r="K118" s="34">
        <v>70.637893676757813</v>
      </c>
      <c r="L118" s="34">
        <v>69.028900146484375</v>
      </c>
      <c r="M118" s="34">
        <v>67.080314636230469</v>
      </c>
      <c r="N118" s="34">
        <v>65.011238098144531</v>
      </c>
      <c r="O118" s="34">
        <v>62.980964660644531</v>
      </c>
      <c r="P118" s="34">
        <v>60.975830078125</v>
      </c>
      <c r="Q118" s="34">
        <v>59.344558715820313</v>
      </c>
      <c r="R118" s="34">
        <v>57.920810699462891</v>
      </c>
      <c r="S118" s="34">
        <v>56.690219879150391</v>
      </c>
      <c r="T118" s="34">
        <v>55.683311462402344</v>
      </c>
      <c r="U118" s="34">
        <v>54.912315368652344</v>
      </c>
      <c r="V118" s="34">
        <v>54.379226684570313</v>
      </c>
      <c r="W118" s="34">
        <v>54.098854064941406</v>
      </c>
      <c r="X118" s="116"/>
      <c r="Y118" s="62"/>
    </row>
    <row r="119" spans="1:51" x14ac:dyDescent="0.2">
      <c r="B119" s="26" t="s">
        <v>132</v>
      </c>
      <c r="C119" s="1">
        <v>3.2392632961273193</v>
      </c>
      <c r="D119" s="1">
        <v>4.4184198379516602</v>
      </c>
      <c r="E119" s="1">
        <v>7.2293639183044434</v>
      </c>
      <c r="F119" s="1">
        <v>7.2143068313598633</v>
      </c>
      <c r="G119" s="1">
        <v>5.9857401847839355</v>
      </c>
      <c r="H119" s="1">
        <v>6.1025090217590332</v>
      </c>
      <c r="I119" s="1">
        <v>6.1933231353759766</v>
      </c>
      <c r="J119" s="1">
        <v>6.2641096115112305</v>
      </c>
      <c r="K119" s="1">
        <v>6.3178462982177734</v>
      </c>
      <c r="L119" s="1">
        <v>6.3571186065673828</v>
      </c>
      <c r="M119" s="1">
        <v>6.384178638458252</v>
      </c>
      <c r="N119" s="1">
        <v>6.4010052680969238</v>
      </c>
      <c r="O119" s="1">
        <v>6.4099130630493164</v>
      </c>
      <c r="P119" s="1">
        <v>6.4009881019592285</v>
      </c>
      <c r="Q119" s="1">
        <v>6.3848505020141602</v>
      </c>
      <c r="R119" s="1">
        <v>6.3620376586914063</v>
      </c>
      <c r="S119" s="1">
        <v>6.3329038619995117</v>
      </c>
      <c r="T119" s="1">
        <v>6.2977828979492188</v>
      </c>
      <c r="U119" s="1">
        <v>6.2569713592529297</v>
      </c>
      <c r="V119" s="1">
        <v>6.2107119560241699</v>
      </c>
      <c r="W119" s="1">
        <v>6.1592273712158203</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185</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HU</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-4.8520380000000003</v>
      </c>
      <c r="D12" s="2">
        <f>'Input data'!D13</f>
        <v>-4.121645</v>
      </c>
      <c r="E12" s="2">
        <f>'Input data'!E13</f>
        <v>-1.336916</v>
      </c>
      <c r="F12" s="2">
        <f>'Input data'!F13</f>
        <v>3.4885699999999999E-2</v>
      </c>
      <c r="G12" s="3">
        <f>'Adjust. no safeguard'!G12</f>
        <v>0.69488570000000005</v>
      </c>
      <c r="H12" s="3">
        <f>'Adjust. no safeguard'!H12</f>
        <v>1.3548857000000001</v>
      </c>
      <c r="I12" s="3">
        <f>'Adjust. no safeguard'!I12</f>
        <v>2.0148857000000002</v>
      </c>
      <c r="J12" s="3">
        <f>'Adjust. no safeguard'!J12</f>
        <v>2.6748857000000004</v>
      </c>
      <c r="K12" s="119">
        <f>'Adjust. no safeguard'!K12</f>
        <v>2.6748857000000004</v>
      </c>
      <c r="L12" s="119">
        <f>'Adjust. no safeguard'!L12</f>
        <v>2.6748857000000004</v>
      </c>
      <c r="M12" s="119">
        <f>'Adjust. no safeguard'!M12</f>
        <v>2.6748857000000004</v>
      </c>
      <c r="N12" s="119">
        <f>IF(N10&lt;=$C$6,M12+'Criteria results'!$F$6,M12)</f>
        <v>2.6748857000000004</v>
      </c>
      <c r="O12" s="119">
        <f>IF(O10&lt;=$C$6,N12+'Criteria results'!$F$6,N12)</f>
        <v>2.6748857000000004</v>
      </c>
      <c r="P12" s="119">
        <f>IF(P10&lt;=$C$6,O12+'Criteria results'!$F$6,O12)</f>
        <v>2.6748857000000004</v>
      </c>
      <c r="Q12" s="119">
        <f>IF(Q10&lt;=$C$6,P12+'Criteria results'!$F$6,P12)</f>
        <v>2.6748857000000004</v>
      </c>
      <c r="R12" s="119">
        <f>IF(R10&lt;=$C$6,Q12+'Criteria results'!$F$6,Q12)</f>
        <v>2.6748857000000004</v>
      </c>
      <c r="S12" s="119">
        <f>IF(S10&lt;=$C$6,R12+'Criteria results'!$F$6,R12)</f>
        <v>2.6748857000000004</v>
      </c>
      <c r="T12" s="119">
        <f>IF(T10&lt;=$C$6,S12+'Criteria results'!$F$6,S12)</f>
        <v>2.6748857000000004</v>
      </c>
      <c r="U12" s="119">
        <f>IF(U10&lt;=$C$6,T12+'Criteria results'!$F$6,T12)</f>
        <v>2.6748857000000004</v>
      </c>
      <c r="V12" s="119">
        <f>IF(V10&lt;=$C$6,U12+'Criteria results'!$F$6,U12)</f>
        <v>2.6748857000000004</v>
      </c>
      <c r="W12" s="119">
        <f>IF(W10&lt;=$C$6,V12+'Criteria results'!$F$6,V12)</f>
        <v>2.6748857000000004</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-0.1086859</v>
      </c>
      <c r="D13" s="2">
        <f>'Input data'!D14</f>
        <v>0</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-0.1919507</v>
      </c>
      <c r="D14" s="2">
        <f>'Input data'!D15</f>
        <v>9.56404E-2</v>
      </c>
      <c r="E14" s="2">
        <f>'Input data'!E15</f>
        <v>2.4978720000000001</v>
      </c>
      <c r="F14" s="2">
        <f>'Input data'!F15</f>
        <v>-0.13437760000000001</v>
      </c>
      <c r="G14" s="2">
        <f>'Input data'!G15</f>
        <v>0.1957401</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16.0166</v>
      </c>
      <c r="E17" s="101">
        <f>'Input data'!E20</f>
        <v>16.121750000000002</v>
      </c>
      <c r="F17" s="101">
        <f>'Input data'!F20</f>
        <v>16.128519999999998</v>
      </c>
      <c r="G17" s="101">
        <f>'Input data'!G20</f>
        <v>16.013810000000003</v>
      </c>
      <c r="H17" s="101">
        <f>'Input data'!H20</f>
        <v>15.929929999999999</v>
      </c>
      <c r="I17" s="101">
        <f>'Input data'!I20</f>
        <v>15.87402</v>
      </c>
      <c r="J17" s="101">
        <f>'Input data'!J20</f>
        <v>15.87527</v>
      </c>
      <c r="K17" s="101">
        <f>'Input data'!K20</f>
        <v>15.887590000000001</v>
      </c>
      <c r="L17" s="101">
        <f>'Input data'!L20</f>
        <v>15.930810000000001</v>
      </c>
      <c r="M17" s="101">
        <f>'Input data'!M20</f>
        <v>16.00994</v>
      </c>
      <c r="N17" s="101">
        <f>'Input data'!N20</f>
        <v>16.10998</v>
      </c>
      <c r="O17" s="101">
        <f>'Input data'!O20</f>
        <v>16.238250000000001</v>
      </c>
      <c r="P17" s="101">
        <f>'Input data'!P20</f>
        <v>16.391590000000001</v>
      </c>
      <c r="Q17" s="101">
        <f>'Input data'!Q20</f>
        <v>16.5777</v>
      </c>
      <c r="R17" s="101">
        <f>'Input data'!R20</f>
        <v>16.78951</v>
      </c>
      <c r="S17" s="101">
        <f>'Input data'!S20</f>
        <v>17.006</v>
      </c>
      <c r="T17" s="101">
        <f>'Input data'!T20</f>
        <v>17.227679999999999</v>
      </c>
      <c r="U17" s="101">
        <f>'Input data'!U20</f>
        <v>17.461649999999999</v>
      </c>
      <c r="V17" s="101">
        <f>'Input data'!V20</f>
        <v>17.708970000000001</v>
      </c>
      <c r="W17" s="101">
        <f>'Input data'!W20</f>
        <v>17.97964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0.53881259999999997</v>
      </c>
      <c r="D18" s="101">
        <f>'Input data'!D26</f>
        <v>1.182669</v>
      </c>
      <c r="E18" s="101">
        <f>'Input data'!E26</f>
        <v>1.1819139999999999</v>
      </c>
      <c r="F18" s="101">
        <f>'Input data'!F26</f>
        <v>1.18116</v>
      </c>
      <c r="G18" s="101">
        <f>'Input data'!G26</f>
        <v>1.1804049999999999</v>
      </c>
      <c r="H18" s="101">
        <f>'Input data'!H26</f>
        <v>1.179651</v>
      </c>
      <c r="I18" s="101">
        <f>'Input data'!I26</f>
        <v>1.1788959999999999</v>
      </c>
      <c r="J18" s="101">
        <f>'Input data'!J26</f>
        <v>1.178142</v>
      </c>
      <c r="K18" s="101">
        <f>'Input data'!K26</f>
        <v>1.177387</v>
      </c>
      <c r="L18" s="101">
        <f>'Input data'!L26</f>
        <v>1.176633</v>
      </c>
      <c r="M18" s="101">
        <f>'Input data'!M26</f>
        <v>1.175878</v>
      </c>
      <c r="N18" s="101">
        <f>'Input data'!N26</f>
        <v>1.1751240000000001</v>
      </c>
      <c r="O18" s="101">
        <f>'Input data'!O26</f>
        <v>1.1743699999999999</v>
      </c>
      <c r="P18" s="101">
        <f>'Input data'!P26</f>
        <v>1.1736150000000001</v>
      </c>
      <c r="Q18" s="101">
        <f>'Input data'!Q26</f>
        <v>1.1728609999999999</v>
      </c>
      <c r="R18" s="101">
        <f>'Input data'!R26</f>
        <v>1.1721060000000001</v>
      </c>
      <c r="S18" s="101">
        <f>'Input data'!S26</f>
        <v>1.1713519999999999</v>
      </c>
      <c r="T18" s="101">
        <f>'Input data'!T26</f>
        <v>1.170598</v>
      </c>
      <c r="U18" s="101">
        <f>'Input data'!U26</f>
        <v>1.169843</v>
      </c>
      <c r="V18" s="101">
        <f>'Input data'!V26</f>
        <v>1.169089</v>
      </c>
      <c r="W18" s="101">
        <f>'Input data'!W26</f>
        <v>1.168334</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42098.46</v>
      </c>
      <c r="D22" s="100">
        <f>'Baseline NFPC'!D22</f>
        <v>44028.004183516801</v>
      </c>
      <c r="E22" s="100">
        <f>'Baseline NFPC'!E22</f>
        <v>43628.368197491611</v>
      </c>
      <c r="F22" s="100">
        <f>'Baseline NFPC'!F22</f>
        <v>44682.719701791517</v>
      </c>
      <c r="G22" s="34">
        <f>IF(AND(G49&gt;1,F49&gt;1),IF(AND(G49&gt;0,F49&gt;0),G26*(G50/100+1),0)+IF(G49&gt;0,F22*(1+G51/100),0)-F22*(1+'Input data'!G30/100),IF(G49=1,G26,F22*(1+G51/100)))</f>
        <v>45926.73934389864</v>
      </c>
      <c r="H22" s="34">
        <f>IF(AND(H49&gt;1,G49&gt;1),IF(AND(H49&gt;0,G49&gt;0),H26*(H50/100+1),0)+IF(H49&gt;0,G22*(1+H51/100),0)-G22*(1+'Input data'!H30/100),IF(H49=1,H26,G22*(1+H51/100)))</f>
        <v>46881.6837183139</v>
      </c>
      <c r="I22" s="34">
        <f>IF(AND(I49&gt;1,H49&gt;1),IF(AND(I49&gt;0,H49&gt;0),I26*(I50/100+1),0)+IF(I49&gt;0,H22*(1+I51/100),0)-H22*(1+'Input data'!I30/100),IF(I49=1,I26,H22*(1+I51/100)))</f>
        <v>47820.086444207474</v>
      </c>
      <c r="J22" s="34">
        <f>IF(AND(J49&gt;1,I49&gt;1),IF(AND(J49&gt;0,I49&gt;0),J26*(J50/100+1),0)+IF(J49&gt;0,I22*(1+J51/100),0)-I22*(1+'Input data'!J30/100),IF(J49=1,J26,I22*(1+J51/100)))</f>
        <v>48751.577760948043</v>
      </c>
      <c r="K22" s="34">
        <f>IF(AND(K49&gt;1,J49&gt;1),IF(AND(K49&gt;0,J49&gt;0),K26*(K50/100+1),0)+IF(K49&gt;0,J22*(1+K51/100),0)-J22*(1+'Input data'!K30/100),IF(K49=1,K26,J22*(1+K51/100)))</f>
        <v>49968.912403741175</v>
      </c>
      <c r="L22" s="34">
        <f>IF(AND(L49&gt;1,K49&gt;1),IF(AND(L49&gt;0,K49&gt;0),L26*(L50/100+1),0)+IF(L49&gt;0,K22*(1+L51/100),0)-K22*(1+'Input data'!L30/100),IF(L49=1,L26,K22*(1+L51/100)))</f>
        <v>51218.217591953115</v>
      </c>
      <c r="M22" s="34">
        <f>IF(AND(M49&gt;1,L49&gt;1),IF(AND(M49&gt;0,L49&gt;0),M26*(M50/100+1),0)+IF(M49&gt;0,L22*(1+M51/100),0)-L22*(1+'Input data'!M30/100),IF(M49=1,M26,L22*(1+M51/100)))</f>
        <v>52479.29612208256</v>
      </c>
      <c r="N22" s="34">
        <f>IF(AND(N49&gt;1,M49&gt;1),IF(AND(N49&gt;0,M49&gt;0),N26*(N50/100+1),0)+IF(N49&gt;0,M22*(1+N51/100),0)-M22*(1+'Input data'!N30/100),IF(N49=1,N26,M22*(1+N51/100)))</f>
        <v>53475.104935409036</v>
      </c>
      <c r="O22" s="34">
        <f>IF(AND(O49&gt;1,N49&gt;1),IF(AND(O49&gt;0,N49&gt;0),O26*(O50/100+1),0)+IF(O49&gt;0,N22*(1+O51/100),0)-N22*(1+'Input data'!O30/100),IF(O49=1,O26,N22*(1+O51/100)))</f>
        <v>54481.874319015391</v>
      </c>
      <c r="P22" s="34">
        <f>IF(AND(P49&gt;1,O49&gt;1),IF(AND(P49&gt;0,O49&gt;0),P26*(P50/100+1),0)+IF(P49&gt;0,O22*(1+P51/100),0)-O22*(1+'Input data'!P30/100),IF(P49=1,P26,O22*(1+P51/100)))</f>
        <v>55486.909626859422</v>
      </c>
      <c r="Q22" s="34">
        <f>IF(AND(Q49&gt;1,P49&gt;1),IF(AND(Q49&gt;0,P49&gt;0),Q26*(Q50/100+1),0)+IF(Q49&gt;0,P22*(1+Q51/100),0)-P22*(1+'Input data'!Q30/100),IF(Q49=1,Q26,P22*(1+Q51/100)))</f>
        <v>56489.413262982642</v>
      </c>
      <c r="R22" s="34">
        <f>IF(AND(R49&gt;1,Q49&gt;1),IF(AND(R49&gt;0,Q49&gt;0),R26*(R50/100+1),0)+IF(R49&gt;0,Q22*(1+R51/100),0)-Q22*(1+'Input data'!R30/100),IF(R49=1,R26,Q22*(1+R51/100)))</f>
        <v>57488.581057954296</v>
      </c>
      <c r="S22" s="34">
        <f>IF(AND(S49&gt;1,R49&gt;1),IF(AND(S49&gt;0,R49&gt;0),S26*(S50/100+1),0)+IF(S49&gt;0,R22*(1+S51/100),0)-R22*(1+'Input data'!S30/100),IF(S49=1,S26,R22*(1+S51/100)))</f>
        <v>58501.002685907144</v>
      </c>
      <c r="T22" s="34">
        <f>IF(AND(T49&gt;1,S49&gt;1),IF(AND(T49&gt;0,S49&gt;0),T26*(T50/100+1),0)+IF(T49&gt;0,S22*(1+T51/100),0)-S22*(1+'Input data'!T30/100),IF(T49=1,T26,S22*(1+T51/100)))</f>
        <v>59499.995058273031</v>
      </c>
      <c r="U22" s="34">
        <f>IF(AND(U49&gt;1,T49&gt;1),IF(AND(U49&gt;0,T49&gt;0),U26*(U50/100+1),0)+IF(U49&gt;0,T22*(1+U51/100),0)-T22*(1+'Input data'!U30/100),IF(U49=1,U26,T22*(1+U51/100)))</f>
        <v>60483.510936587874</v>
      </c>
      <c r="V22" s="34">
        <f>IF(AND(V49&gt;1,U49&gt;1),IF(AND(V49&gt;0,U49&gt;0),V26*(V50/100+1),0)+IF(V49&gt;0,U22*(1+V51/100),0)-U22*(1+'Input data'!V30/100),IF(V49=1,V26,U22*(1+V51/100)))</f>
        <v>61462.593213389868</v>
      </c>
      <c r="W22" s="34">
        <f>IF(AND(W49&gt;1,V49&gt;1),IF(AND(W49&gt;0,V49&gt;0),W26*(W50/100+1),0)+IF(W49&gt;0,V22*(1+W51/100),0)-V22*(1+'Input data'!W30/100),IF(W49=1,W26,V22*(1+W51/100)))</f>
        <v>62446.691075985211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7.0612209999999997</v>
      </c>
      <c r="D23" s="100">
        <f>'Baseline NFPC'!D23</f>
        <v>4.5834080000000004</v>
      </c>
      <c r="E23" s="100">
        <f>'Baseline NFPC'!E23</f>
        <v>-0.90768590000000005</v>
      </c>
      <c r="F23" s="100">
        <f>'Baseline NFPC'!F23</f>
        <v>2.4166650000000001</v>
      </c>
      <c r="G23" s="34">
        <f t="shared" ref="G23:T23" si="0">100*(G22/F22-1)</f>
        <v>2.7841180000000021</v>
      </c>
      <c r="H23" s="34">
        <f t="shared" si="0"/>
        <v>2.0792775364796734</v>
      </c>
      <c r="I23" s="34">
        <f t="shared" si="0"/>
        <v>2.0016404093588402</v>
      </c>
      <c r="J23" s="34">
        <f t="shared" si="0"/>
        <v>1.9479080570616647</v>
      </c>
      <c r="K23" s="34">
        <f t="shared" si="0"/>
        <v>2.4970158889263017</v>
      </c>
      <c r="L23" s="34">
        <f t="shared" si="0"/>
        <v>2.5001648587380521</v>
      </c>
      <c r="M23" s="34">
        <f t="shared" si="0"/>
        <v>2.4621679344178693</v>
      </c>
      <c r="N23" s="34">
        <f t="shared" si="0"/>
        <v>1.89752700000001</v>
      </c>
      <c r="O23" s="34">
        <f t="shared" si="0"/>
        <v>1.882687999999999</v>
      </c>
      <c r="P23" s="34">
        <f t="shared" si="0"/>
        <v>1.8447150000000079</v>
      </c>
      <c r="Q23" s="34">
        <f t="shared" si="0"/>
        <v>1.8067389999999905</v>
      </c>
      <c r="R23" s="34">
        <f t="shared" si="0"/>
        <v>1.7687699999999973</v>
      </c>
      <c r="S23" s="34">
        <f t="shared" si="0"/>
        <v>1.7610829999999966</v>
      </c>
      <c r="T23" s="34">
        <f t="shared" si="0"/>
        <v>1.7076499999999939</v>
      </c>
      <c r="U23" s="34">
        <f t="shared" ref="U23" si="1">100*(U22/T22-1)</f>
        <v>1.6529680000000102</v>
      </c>
      <c r="V23" s="34">
        <f t="shared" ref="V23" si="2">100*(V22/U22-1)</f>
        <v>1.6187589999999918</v>
      </c>
      <c r="W23" s="34">
        <f t="shared" ref="W23" si="3">100*(W22/V22-1)</f>
        <v>1.601132999999999</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42044.3</v>
      </c>
      <c r="D26" s="100">
        <f>+C26*(1+'Input data'!D33/100)</f>
        <v>43329.925139640996</v>
      </c>
      <c r="E26" s="100">
        <f>+D26*(1+'Input data'!E33/100)</f>
        <v>44260.154070800636</v>
      </c>
      <c r="F26" s="100">
        <f>+E26*(1+'Input data'!F33/100)</f>
        <v>45233.969964080257</v>
      </c>
      <c r="G26" s="34">
        <f>+F26*(1+'Input data'!G33/100)</f>
        <v>46351.368439873753</v>
      </c>
      <c r="H26" s="34">
        <f>+G26*(1+'Input data'!H33/100)</f>
        <v>47398.502401600002</v>
      </c>
      <c r="I26" s="34">
        <f>+H26*(1+'Input data'!I33/100)</f>
        <v>48404.005699817113</v>
      </c>
      <c r="J26" s="34">
        <f>+I26*(1+'Input data'!J33/100)</f>
        <v>49385.459840588308</v>
      </c>
      <c r="K26" s="34">
        <f>+J26*(1+'Input data'!K33/100)</f>
        <v>50400.183377787478</v>
      </c>
      <c r="L26" s="34">
        <f>+K26*(1+'Input data'!L33/100)</f>
        <v>51438.29460288761</v>
      </c>
      <c r="M26" s="34">
        <f>+L26*(1+'Input data'!M33/100)</f>
        <v>52479.29612208256</v>
      </c>
      <c r="N26" s="34">
        <f>+M26*(1+'Input data'!N33/100)</f>
        <v>53475.104410616063</v>
      </c>
      <c r="O26" s="34">
        <f>+N26*(1+'Input data'!O33/100)</f>
        <v>54481.872180089063</v>
      </c>
      <c r="P26" s="34">
        <f>+O26*(1+'Input data'!P33/100)</f>
        <v>55486.906358838547</v>
      </c>
      <c r="Q26" s="34">
        <f>+P26*(1+'Input data'!Q33/100)</f>
        <v>56489.411045655288</v>
      </c>
      <c r="R26" s="34">
        <f>+Q26*(1+'Input data'!R33/100)</f>
        <v>57488.578236513415</v>
      </c>
      <c r="S26" s="34">
        <f>+R26*(1+'Input data'!S33/100)</f>
        <v>58501.001539435696</v>
      </c>
      <c r="T26" s="34">
        <f>+S26*(1+'Input data'!T33/100)</f>
        <v>59499.993892223865</v>
      </c>
      <c r="U26" s="34">
        <f>+T26*(1+'Input data'!U33/100)</f>
        <v>60483.509156264336</v>
      </c>
      <c r="V26" s="34">
        <f>+U26*(1+'Input data'!V33/100)</f>
        <v>61462.589589741918</v>
      </c>
      <c r="W26" s="34">
        <f>+V26*(1+'Input data'!W33/100)</f>
        <v>62446.686779691947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0.12881651020471008</v>
      </c>
      <c r="D29" s="100">
        <f t="shared" ref="D29:T29" si="4">100*(D22/D26-1)</f>
        <v>1.6110783520305594</v>
      </c>
      <c r="E29" s="100">
        <f t="shared" si="4"/>
        <v>-1.4274371306940981</v>
      </c>
      <c r="F29" s="100">
        <f t="shared" si="4"/>
        <v>-1.2186643417026688</v>
      </c>
      <c r="G29" s="34">
        <f t="shared" si="4"/>
        <v>-0.91610908214271314</v>
      </c>
      <c r="H29" s="34">
        <f t="shared" si="4"/>
        <v>-1.0903692249750407</v>
      </c>
      <c r="I29" s="34">
        <f t="shared" si="4"/>
        <v>-1.2063449030042639</v>
      </c>
      <c r="J29" s="34">
        <f t="shared" si="4"/>
        <v>-1.2835398955206245</v>
      </c>
      <c r="K29" s="34">
        <f t="shared" si="4"/>
        <v>-0.85569326368041265</v>
      </c>
      <c r="L29" s="34">
        <f t="shared" si="4"/>
        <v>-0.42784663184020078</v>
      </c>
      <c r="M29" s="34">
        <f t="shared" si="4"/>
        <v>0</v>
      </c>
      <c r="N29" s="34">
        <f t="shared" si="4"/>
        <v>9.8137811210818882E-7</v>
      </c>
      <c r="O29" s="34">
        <f t="shared" si="4"/>
        <v>3.9259413053827075E-6</v>
      </c>
      <c r="P29" s="34">
        <f t="shared" si="4"/>
        <v>5.8897154042725219E-6</v>
      </c>
      <c r="Q29" s="34">
        <f t="shared" si="4"/>
        <v>3.9252088468444413E-6</v>
      </c>
      <c r="R29" s="34">
        <f t="shared" si="4"/>
        <v>4.9078285879744499E-6</v>
      </c>
      <c r="S29" s="34">
        <f t="shared" si="4"/>
        <v>1.9597466982546052E-6</v>
      </c>
      <c r="T29" s="34">
        <f t="shared" si="4"/>
        <v>1.9597466982546052E-6</v>
      </c>
      <c r="U29" s="34">
        <f t="shared" ref="U29:W29" si="5">100*(U22/U26-1)</f>
        <v>2.9434858550558829E-6</v>
      </c>
      <c r="V29" s="34">
        <f t="shared" si="5"/>
        <v>5.8956968418399924E-6</v>
      </c>
      <c r="W29" s="34">
        <f t="shared" si="5"/>
        <v>6.8799378860617821E-6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13.955157461405875</v>
      </c>
      <c r="D32" s="2">
        <f t="shared" si="6"/>
        <v>19.467028376067198</v>
      </c>
      <c r="E32" s="2">
        <f t="shared" si="6"/>
        <v>13.707449415840411</v>
      </c>
      <c r="F32" s="2">
        <f t="shared" si="6"/>
        <v>7.8448926524976592</v>
      </c>
      <c r="G32" s="1">
        <f t="shared" si="6"/>
        <v>6.6898877601293316</v>
      </c>
      <c r="H32" s="1">
        <f t="shared" si="6"/>
        <v>5.8829833926471009</v>
      </c>
      <c r="I32" s="1">
        <f t="shared" si="6"/>
        <v>5.7272304349907932</v>
      </c>
      <c r="J32" s="1">
        <f t="shared" si="6"/>
        <v>5.5963522501186969</v>
      </c>
      <c r="K32" s="1">
        <f t="shared" si="6"/>
        <v>6.0895229712210952</v>
      </c>
      <c r="L32" s="1">
        <f t="shared" si="6"/>
        <v>6.0171917716874246</v>
      </c>
      <c r="M32" s="1">
        <f t="shared" si="6"/>
        <v>5.9023285627750388</v>
      </c>
      <c r="N32" s="1">
        <f t="shared" si="6"/>
        <v>5.2435837311928912</v>
      </c>
      <c r="O32" s="1">
        <f t="shared" si="6"/>
        <v>5.1531222848000047</v>
      </c>
      <c r="P32" s="1">
        <f t="shared" si="6"/>
        <v>5.1032366564250031</v>
      </c>
      <c r="Q32" s="1">
        <f t="shared" si="6"/>
        <v>5.0533559067099887</v>
      </c>
      <c r="R32" s="1">
        <f t="shared" si="6"/>
        <v>5.003490354450002</v>
      </c>
      <c r="S32" s="1">
        <f t="shared" si="6"/>
        <v>4.9848741094399962</v>
      </c>
      <c r="T32" s="1">
        <f t="shared" si="6"/>
        <v>4.9190690487499911</v>
      </c>
      <c r="U32" s="1">
        <f t="shared" si="6"/>
        <v>4.851986902960026</v>
      </c>
      <c r="V32" s="1">
        <f t="shared" si="6"/>
        <v>4.8060313760349915</v>
      </c>
      <c r="W32" s="1">
        <f t="shared" si="6"/>
        <v>4.777184417580016</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3.2392629999999998</v>
      </c>
      <c r="D35" s="100">
        <f>'Input data'!D37</f>
        <v>4.4184200000000002</v>
      </c>
      <c r="E35" s="100">
        <f>'Input data'!E37</f>
        <v>7.2293640000000003</v>
      </c>
      <c r="F35" s="100">
        <f>'Input data'!F37</f>
        <v>7.2143069999999998</v>
      </c>
      <c r="G35" s="100">
        <f>'Input data'!G37</f>
        <v>5.985741</v>
      </c>
      <c r="H35" s="34">
        <f>H92</f>
        <v>6.1006442626004187</v>
      </c>
      <c r="I35" s="34">
        <f t="shared" ref="I35:W35" si="7">I92</f>
        <v>6.1883468017334327</v>
      </c>
      <c r="J35" s="34">
        <f t="shared" si="7"/>
        <v>6.2553067442008849</v>
      </c>
      <c r="K35" s="34">
        <f>K92</f>
        <v>6.4601233217389762</v>
      </c>
      <c r="L35" s="34">
        <f t="shared" si="7"/>
        <v>6.4281565185201597</v>
      </c>
      <c r="M35" s="34">
        <f t="shared" si="7"/>
        <v>6.4470587787454976</v>
      </c>
      <c r="N35" s="34">
        <f t="shared" si="7"/>
        <v>6.457646065000028</v>
      </c>
      <c r="O35" s="34">
        <f t="shared" si="7"/>
        <v>6.4610882976464046</v>
      </c>
      <c r="P35" s="34">
        <f t="shared" si="7"/>
        <v>6.4470967938933637</v>
      </c>
      <c r="Q35" s="34">
        <f t="shared" si="7"/>
        <v>6.425968715329593</v>
      </c>
      <c r="R35" s="34">
        <f t="shared" si="7"/>
        <v>6.3981591816633854</v>
      </c>
      <c r="S35" s="34">
        <f t="shared" si="7"/>
        <v>6.3640204210817979</v>
      </c>
      <c r="T35" s="34">
        <f t="shared" si="7"/>
        <v>6.3239137242249726</v>
      </c>
      <c r="U35" s="34">
        <f t="shared" si="7"/>
        <v>6.2781806895439844</v>
      </c>
      <c r="V35" s="34">
        <f t="shared" si="7"/>
        <v>6.2271192007423579</v>
      </c>
      <c r="W35" s="34">
        <f t="shared" si="7"/>
        <v>6.1710201148108634</v>
      </c>
    </row>
    <row r="36" spans="2:51" x14ac:dyDescent="0.2">
      <c r="B36" s="32" t="s">
        <v>94</v>
      </c>
      <c r="C36" s="1"/>
      <c r="D36" s="2">
        <f>'Input data'!D$39</f>
        <v>7.57</v>
      </c>
      <c r="E36" s="2">
        <f>'Input data'!E$39</f>
        <v>7.51</v>
      </c>
      <c r="F36" s="166">
        <f>'Input data'!F$39</f>
        <v>6.852957</v>
      </c>
      <c r="G36" s="166">
        <f>'Input data'!G$39</f>
        <v>7.0544219999999997</v>
      </c>
      <c r="H36" s="1">
        <f>G36+($O$36-$G$36)/($O$10-$G$10)</f>
        <v>6.9882267499999999</v>
      </c>
      <c r="I36" s="1">
        <f t="shared" ref="I36:J36" si="8">H36+($O$36-$G$36)/($O$10-$G$10)</f>
        <v>6.9220315000000001</v>
      </c>
      <c r="J36" s="1">
        <f t="shared" si="8"/>
        <v>6.8558362500000003</v>
      </c>
      <c r="K36" s="1">
        <f>IF('Criteria results'!$F$5=4,IF(J56&gt;90,G36+('Input data'!$C$52-$G$36)/($O$10-$G$10)*(K10-$G$10)+1+0.06*(J56-90),G36+('Input data'!$C$52-$G$36)/($O$10-$G$10)*(K10-$G$10)+1),G36+('Input data'!$C$52-$G$36)/($O$10-$G$10)*(K10-$G$10))</f>
        <v>7.7896409999999996</v>
      </c>
      <c r="L36" s="1">
        <f>$G$36+('Input data'!$C$52-$G$36)/($O$10-$G$10)*(L10-$G$10)</f>
        <v>6.7234457499999998</v>
      </c>
      <c r="M36" s="1">
        <f>$G$36+('Input data'!$C$52-$G$36)/($O$10-$G$10)*(M10-$G$10)</f>
        <v>6.6572505</v>
      </c>
      <c r="N36" s="1">
        <f>IF('Criteria results'!$F$5=7,IF(M56&gt;90,G36+('Input data'!$C$52-$G$36)/($O$10-$G$10)*(N10-$G$10)+1+0.06*(M56-90),G36+('Input data'!$C$52-$G$36)/($O$10-$G$10)*(N10-$G$10)+1),G36+('Input data'!$C$52-$G$36)/($O$10-$G$10)*(N10-$G$10))</f>
        <v>6.5910552500000001</v>
      </c>
      <c r="O36" s="252">
        <f>'Baseline NFPC'!O36</f>
        <v>6.5248600000000003</v>
      </c>
      <c r="P36" s="1">
        <f>'Baseline NFPC'!P36</f>
        <v>6.4486170000000005</v>
      </c>
      <c r="Q36" s="1">
        <f>'Baseline NFPC'!Q36</f>
        <v>6.3723740000000006</v>
      </c>
      <c r="R36" s="1">
        <f>'Baseline NFPC'!R36</f>
        <v>6.2961309999999999</v>
      </c>
      <c r="S36" s="1">
        <f>'Baseline NFPC'!S36</f>
        <v>6.2198880000000001</v>
      </c>
      <c r="T36" s="1">
        <f>'Baseline NFPC'!T36</f>
        <v>6.1436450000000002</v>
      </c>
      <c r="U36" s="1">
        <f>'Baseline NFPC'!U36</f>
        <v>6.0674020000000004</v>
      </c>
      <c r="V36" s="1">
        <f>'Baseline NFPC'!V36</f>
        <v>5.9911590000000006</v>
      </c>
      <c r="W36" s="1">
        <f>'Baseline NFPC'!W36</f>
        <v>5.9149159999999998</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10.32</v>
      </c>
      <c r="E37" s="2">
        <f>'Input data'!E$38</f>
        <v>15.97</v>
      </c>
      <c r="F37" s="166">
        <f>'Input data'!F$38</f>
        <v>7.4377000000000004</v>
      </c>
      <c r="G37" s="166">
        <f>'Input data'!G$38</f>
        <v>6.4500719999999996</v>
      </c>
      <c r="H37" s="1">
        <f>G37+($O$37-$G$37)/($O$10-$G$10)</f>
        <v>6.4235542499999996</v>
      </c>
      <c r="I37" s="1">
        <f t="shared" ref="I37:J37" si="9">H37+($O$37-$G$37)/($O$10-$G$10)</f>
        <v>6.3970364999999996</v>
      </c>
      <c r="J37" s="1">
        <f t="shared" si="9"/>
        <v>6.3705187499999996</v>
      </c>
      <c r="K37" s="1">
        <f>IF('Criteria results'!$F$5=4,IF(J56&gt;90,G37+('Input data'!$C$53-$G$37)/($O$10-$G$10)*(K10-$G$10)+1+0.06*(J56-90),G37+('Input data'!$C$53-$G$37)/($O$10-$G$10)*(K10-$G$10)+1),G37+('Input data'!$C$53-$G$37)/($O$10-$G$10)*(K10-$G$10))</f>
        <v>7.3440010000000004</v>
      </c>
      <c r="L37" s="1">
        <f>$G$37+('Input data'!$C$53-$G$37)/($O$10-$G$10)*(L10-$G$10)</f>
        <v>6.3174832500000004</v>
      </c>
      <c r="M37" s="1">
        <f>$G$37+('Input data'!$C$53-$G$37)/($O$10-$G$10)*(M10-$G$10)</f>
        <v>6.2909655000000004</v>
      </c>
      <c r="N37" s="1">
        <f>IF('Criteria results'!$F$5=7,IF(M56&gt;90,G37+('Input data'!$C$53-$G$37)/($O$10-$G$10)*(N10-$G$10)+1+0.06*(M56-90),G37+('Input data'!$C$53-$G$37)/($O$10-$G$10)*(N10-$G$10)+1),G37+('Input data'!$C$53-$G$37)/($O$10-$G$10)*(N10-$G$10))</f>
        <v>6.2644477500000004</v>
      </c>
      <c r="O37" s="252">
        <f>'Baseline NFPC'!O37</f>
        <v>6.2379300000000004</v>
      </c>
      <c r="P37" s="1">
        <f>'Baseline NFPC'!P37</f>
        <v>6.0510335000000008</v>
      </c>
      <c r="Q37" s="1">
        <f>'Baseline NFPC'!Q37</f>
        <v>5.8641370000000004</v>
      </c>
      <c r="R37" s="1">
        <f>'Baseline NFPC'!R37</f>
        <v>5.6772404999999999</v>
      </c>
      <c r="S37" s="1">
        <f>'Baseline NFPC'!S37</f>
        <v>5.4903440000000003</v>
      </c>
      <c r="T37" s="1">
        <f>'Baseline NFPC'!T37</f>
        <v>5.3034475000000008</v>
      </c>
      <c r="U37" s="1">
        <f>'Baseline NFPC'!U37</f>
        <v>5.1165510000000003</v>
      </c>
      <c r="V37" s="1">
        <f>'Baseline NFPC'!V37</f>
        <v>4.9296544999999998</v>
      </c>
      <c r="W37" s="1">
        <f>'Baseline NFPC'!W37</f>
        <v>4.7427580000000003</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7.9358789999999998E-2</v>
      </c>
      <c r="D38" s="34">
        <f>'Baseline NFPC'!D38</f>
        <v>6.020197E-2</v>
      </c>
      <c r="E38" s="34">
        <f>'Baseline NFPC'!E38</f>
        <v>5.0460409999999997E-2</v>
      </c>
      <c r="F38" s="34">
        <f>'Baseline NFPC'!F38</f>
        <v>6.7433850000000004E-2</v>
      </c>
      <c r="G38" s="34">
        <f>'Baseline NFPC'!G38</f>
        <v>6.8616281111111108E-2</v>
      </c>
      <c r="H38" s="34">
        <f>'Baseline NFPC'!H38</f>
        <v>6.9798712222222226E-2</v>
      </c>
      <c r="I38" s="34">
        <f>'Baseline NFPC'!I38</f>
        <v>7.098114333333333E-2</v>
      </c>
      <c r="J38" s="34">
        <f>'Baseline NFPC'!J38</f>
        <v>7.2163574444444448E-2</v>
      </c>
      <c r="K38" s="34">
        <f>'Baseline NFPC'!K38</f>
        <v>7.3346005555555552E-2</v>
      </c>
      <c r="L38" s="34">
        <f>'Baseline NFPC'!L38</f>
        <v>7.452843666666667E-2</v>
      </c>
      <c r="M38" s="34">
        <f>'Baseline NFPC'!M38</f>
        <v>7.5710867777777774E-2</v>
      </c>
      <c r="N38" s="34">
        <f>'Baseline NFPC'!N38</f>
        <v>7.6893298888888878E-2</v>
      </c>
      <c r="O38" s="34">
        <f>'Baseline NFPC'!O38</f>
        <v>7.8075729999999996E-2</v>
      </c>
      <c r="P38" s="34">
        <f>'Baseline NFPC'!P38</f>
        <v>7.8075729999999996E-2</v>
      </c>
      <c r="Q38" s="34">
        <f>'Baseline NFPC'!Q38</f>
        <v>7.8075729999999996E-2</v>
      </c>
      <c r="R38" s="34">
        <f>'Baseline NFPC'!R38</f>
        <v>7.8075729999999996E-2</v>
      </c>
      <c r="S38" s="34">
        <f>'Baseline NFPC'!S38</f>
        <v>7.8075729999999996E-2</v>
      </c>
      <c r="T38" s="34">
        <f>'Baseline NFPC'!T38</f>
        <v>7.8075729999999996E-2</v>
      </c>
      <c r="U38" s="34">
        <f>'Baseline NFPC'!U38</f>
        <v>7.8075729999999996E-2</v>
      </c>
      <c r="V38" s="34">
        <f>'Baseline NFPC'!V38</f>
        <v>7.8075729999999996E-2</v>
      </c>
      <c r="W38" s="34">
        <f>'Baseline NFPC'!W38</f>
        <v>7.8075729999999996E-2</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6.4392469999999999</v>
      </c>
      <c r="D41" s="2">
        <f>'Input data'!D42</f>
        <v>14.231339999999999</v>
      </c>
      <c r="E41" s="2">
        <f>'Input data'!E42</f>
        <v>14.74901</v>
      </c>
      <c r="F41" s="2">
        <f>'Input data'!F42</f>
        <v>5.300141</v>
      </c>
      <c r="G41" s="2">
        <f>'Input data'!G42</f>
        <v>3.7999740000000002</v>
      </c>
      <c r="H41" s="1">
        <f>'Baseline NFPC'!H41</f>
        <v>3.72622725</v>
      </c>
      <c r="I41" s="1">
        <f>'Baseline NFPC'!I41</f>
        <v>3.6524805000000002</v>
      </c>
      <c r="J41" s="1">
        <f>'Baseline NFPC'!J41</f>
        <v>3.57873375</v>
      </c>
      <c r="K41" s="1">
        <f>'Baseline NFPC'!K41</f>
        <v>3.5049869999999999</v>
      </c>
      <c r="L41" s="1">
        <f>'Baseline NFPC'!L41</f>
        <v>3.4312402500000001</v>
      </c>
      <c r="M41" s="1">
        <f>'Baseline NFPC'!M41</f>
        <v>3.3574934999999999</v>
      </c>
      <c r="N41" s="1">
        <f>'Baseline NFPC'!N41</f>
        <v>3.2837467499999997</v>
      </c>
      <c r="O41" s="252">
        <f>'Baseline NFPC'!O41</f>
        <v>3.21</v>
      </c>
      <c r="P41" s="1">
        <f>'Baseline NFPC'!P41</f>
        <v>3.1995</v>
      </c>
      <c r="Q41" s="1">
        <f>'Baseline NFPC'!Q41</f>
        <v>3.1890000000000001</v>
      </c>
      <c r="R41" s="1">
        <f>'Baseline NFPC'!R41</f>
        <v>3.1785000000000001</v>
      </c>
      <c r="S41" s="1">
        <f>'Baseline NFPC'!S41</f>
        <v>3.1680000000000001</v>
      </c>
      <c r="T41" s="1">
        <f>'Baseline NFPC'!T41</f>
        <v>3.1574999999999998</v>
      </c>
      <c r="U41" s="1">
        <f>'Baseline NFPC'!U41</f>
        <v>3.1469999999999998</v>
      </c>
      <c r="V41" s="1">
        <f>'Baseline NFPC'!V41</f>
        <v>3.1364999999999998</v>
      </c>
      <c r="W41" s="1">
        <f>'Baseline NFPC'!W41</f>
        <v>3.1259999999999999</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1.002497</v>
      </c>
      <c r="D42" s="1">
        <f>'Baseline NFPC'!D42</f>
        <v>1.052827</v>
      </c>
      <c r="E42" s="1">
        <f>'Baseline NFPC'!E42</f>
        <v>0.98856089999999996</v>
      </c>
      <c r="F42" s="1">
        <f>'Baseline NFPC'!F42</f>
        <v>1.0111460000000001</v>
      </c>
      <c r="G42" s="1">
        <f>'Baseline NFPC'!G42</f>
        <v>1.001916</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0.45300000000000001</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3</v>
      </c>
      <c r="L49" s="34">
        <f>IF(AND(ABS((L12-K12)-('Input data'!L13-'Input data'!K13))&gt;0.0001,ABS(L12-K12)&gt;0.0001,L$10&gt;$C$5),4,IF(K49=4,3,IF(K49=3,2,IF(K49=2,1,0))))</f>
        <v>2</v>
      </c>
      <c r="M49" s="34">
        <f>IF(AND(ABS((M12-L12)-('Input data'!M13-'Input data'!L13))&gt;0.0001,ABS(M12-L12)&gt;0.0001,M$10&gt;$C$5),4,IF(L49=4,3,IF(L49=3,2,IF(L49=2,1,0))))</f>
        <v>1</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-0.61073938809514206</v>
      </c>
      <c r="I50" s="34">
        <f t="shared" si="10"/>
        <v>-0.72691281665002716</v>
      </c>
      <c r="J50" s="34">
        <f t="shared" si="10"/>
        <v>-0.80422993533617593</v>
      </c>
      <c r="K50" s="34">
        <f t="shared" si="10"/>
        <v>-0.85569326368041632</v>
      </c>
      <c r="L50" s="34">
        <f t="shared" si="10"/>
        <v>-0.42784663184020816</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4.5834080000000004</v>
      </c>
      <c r="E51" s="34">
        <f>'Input data'!E30-$C$46*((E12-D12)-('Input data'!E13-'Input data'!D13))</f>
        <v>-0.90768590000000005</v>
      </c>
      <c r="F51" s="34">
        <f>'Input data'!F30-$C$46*((F12-E12)-('Input data'!F13-'Input data'!E13))</f>
        <v>2.4166650000000001</v>
      </c>
      <c r="G51" s="34">
        <f>'Input data'!G30-$C$46*((G12-F12))</f>
        <v>2.7841179999999999</v>
      </c>
      <c r="H51" s="34">
        <f>'Input data'!H30-$C$46*((H12-G12))</f>
        <v>1.9144060000000001</v>
      </c>
      <c r="I51" s="34">
        <f>'Input data'!I30-$C$46*((I12-H12))</f>
        <v>1.8261859999999999</v>
      </c>
      <c r="J51" s="34">
        <f>'Input data'!J30-$C$46*((J12-I12))</f>
        <v>1.6322459999999999</v>
      </c>
      <c r="K51" s="34">
        <f>'Input data'!K30-$C$46*((K12-J12))</f>
        <v>2.0546989999999998</v>
      </c>
      <c r="L51" s="34">
        <f>'Input data'!L30-$C$46*((L12-K12))</f>
        <v>2.059733</v>
      </c>
      <c r="M51" s="34">
        <f>'Input data'!M30-$C$46*((M12-L12))</f>
        <v>2.023784</v>
      </c>
      <c r="N51" s="34">
        <f>'Input data'!N30-$C$46*((N12-M12))</f>
        <v>1.897527</v>
      </c>
      <c r="O51" s="34">
        <f>'Input data'!O30-$C$46*((O12-N12))</f>
        <v>1.8826879999999999</v>
      </c>
      <c r="P51" s="34">
        <f>'Input data'!P30-$C$46*((P12-O12))</f>
        <v>1.8447150000000001</v>
      </c>
      <c r="Q51" s="34">
        <f>'Input data'!Q30-$C$46*((Q12-P12))</f>
        <v>1.8067390000000001</v>
      </c>
      <c r="R51" s="34">
        <f>'Input data'!R30-$C$46*((R12-Q12))</f>
        <v>1.76877</v>
      </c>
      <c r="S51" s="34">
        <f>'Input data'!S30-$C$46*((S12-R12))</f>
        <v>1.761083</v>
      </c>
      <c r="T51" s="34">
        <f>'Input data'!T30-$C$46*((T12-S12))</f>
        <v>1.7076499999999999</v>
      </c>
      <c r="U51" s="34">
        <f>'Input data'!U30-$C$46*((U12-T12))</f>
        <v>1.652968</v>
      </c>
      <c r="V51" s="34">
        <f>'Input data'!V30-$C$46*((V12-U12))</f>
        <v>1.6187590000000001</v>
      </c>
      <c r="W51" s="34">
        <f>'Input data'!W30-$C$46*((W12-V12))</f>
        <v>1.6011329999999999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76.688640000000007</v>
      </c>
      <c r="D56" s="45">
        <f>+C56+D57</f>
        <v>74.056958506530165</v>
      </c>
      <c r="E56" s="45">
        <f t="shared" ref="E56:T56" si="11">+D56+E57</f>
        <v>73.520357526734585</v>
      </c>
      <c r="F56" s="45">
        <f>+E56+F57</f>
        <v>74.287964673525892</v>
      </c>
      <c r="G56" s="45">
        <f>+F56+G57</f>
        <v>73.854222000134087</v>
      </c>
      <c r="H56" s="45">
        <f>+G56+H57</f>
        <v>73.145093744834028</v>
      </c>
      <c r="I56" s="45">
        <f t="shared" si="11"/>
        <v>71.995695653916613</v>
      </c>
      <c r="J56" s="45">
        <f t="shared" si="11"/>
        <v>70.351529341469288</v>
      </c>
      <c r="K56" s="45">
        <f>+J56+K57</f>
        <v>68.323105241682399</v>
      </c>
      <c r="L56" s="45">
        <f t="shared" si="11"/>
        <v>66.163930560724978</v>
      </c>
      <c r="M56" s="45">
        <f t="shared" si="11"/>
        <v>63.966306525592465</v>
      </c>
      <c r="N56" s="45">
        <f t="shared" si="11"/>
        <v>62.267046888777941</v>
      </c>
      <c r="O56" s="46">
        <f t="shared" si="11"/>
        <v>60.733431265573927</v>
      </c>
      <c r="P56" s="46">
        <f>+O56+P57</f>
        <v>59.355933416894487</v>
      </c>
      <c r="Q56" s="46">
        <f t="shared" si="11"/>
        <v>58.164293462786084</v>
      </c>
      <c r="R56" s="46">
        <f t="shared" si="11"/>
        <v>57.182226591857621</v>
      </c>
      <c r="S56" s="46">
        <f t="shared" si="11"/>
        <v>56.39604113913299</v>
      </c>
      <c r="T56" s="46">
        <f t="shared" si="11"/>
        <v>55.836239900039594</v>
      </c>
      <c r="U56" s="46">
        <f t="shared" ref="U56" si="12">+T56+U57</f>
        <v>55.515514836527842</v>
      </c>
      <c r="V56" s="46">
        <f t="shared" ref="V56" si="13">+U56+V57</f>
        <v>55.436126432538003</v>
      </c>
      <c r="W56" s="46">
        <f t="shared" ref="W56" si="14">+V56+W57</f>
        <v>55.612874370590959</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-2.631681493469844</v>
      </c>
      <c r="E57" s="47">
        <f t="shared" ref="E57:S57" si="15">-E58+E66+E71</f>
        <v>-0.53660097979557353</v>
      </c>
      <c r="F57" s="47">
        <f>-F58+F66+F71</f>
        <v>0.76760714679130904</v>
      </c>
      <c r="G57" s="47">
        <f>-G58+G66+G71</f>
        <v>-0.43374267339180306</v>
      </c>
      <c r="H57" s="47">
        <f>-H58+H66+H71</f>
        <v>-0.70912825530005552</v>
      </c>
      <c r="I57" s="47">
        <f t="shared" si="15"/>
        <v>-1.1493980909174168</v>
      </c>
      <c r="J57" s="47">
        <f t="shared" si="15"/>
        <v>-1.6441663124473207</v>
      </c>
      <c r="K57" s="47">
        <f t="shared" si="15"/>
        <v>-2.0284240997868954</v>
      </c>
      <c r="L57" s="47">
        <f t="shared" si="15"/>
        <v>-2.1591746809574146</v>
      </c>
      <c r="M57" s="47">
        <f t="shared" si="15"/>
        <v>-2.197624035132514</v>
      </c>
      <c r="N57" s="47">
        <f t="shared" si="15"/>
        <v>-1.699259636814527</v>
      </c>
      <c r="O57" s="47">
        <f t="shared" si="15"/>
        <v>-1.5336156232040152</v>
      </c>
      <c r="P57" s="47">
        <f>-P58+P66+P71</f>
        <v>-1.3774978486794431</v>
      </c>
      <c r="Q57" s="47">
        <f t="shared" si="15"/>
        <v>-1.1916399541084046</v>
      </c>
      <c r="R57" s="47">
        <f t="shared" si="15"/>
        <v>-0.98206687092846501</v>
      </c>
      <c r="S57" s="47">
        <f t="shared" si="15"/>
        <v>-0.78618545272463058</v>
      </c>
      <c r="T57" s="47">
        <f>-T58+T66+T71</f>
        <v>-0.55980123909339286</v>
      </c>
      <c r="U57" s="47">
        <f>-U58+U66+U71</f>
        <v>-0.32072506351175423</v>
      </c>
      <c r="V57" s="47">
        <f t="shared" ref="V57:W57" si="16">-V58+V66+V71</f>
        <v>-7.9388403989838263E-2</v>
      </c>
      <c r="W57" s="47">
        <f t="shared" si="16"/>
        <v>0.17674793805295819</v>
      </c>
    </row>
    <row r="58" spans="2:48" outlineLevel="1" x14ac:dyDescent="0.2">
      <c r="B58" s="84" t="s">
        <v>106</v>
      </c>
      <c r="C58" s="48"/>
      <c r="D58" s="48">
        <f>D59+D60-D61-D62-D63-D64-D65</f>
        <v>-3.3918265065301565</v>
      </c>
      <c r="E58" s="48">
        <f t="shared" ref="E58:S58" si="17">E59+E60-E61-E62-E63-E64-E65</f>
        <v>-1.9835450202044265</v>
      </c>
      <c r="F58" s="48">
        <f t="shared" si="17"/>
        <v>-0.51716924679130893</v>
      </c>
      <c r="G58" s="48">
        <f t="shared" si="17"/>
        <v>0.27988828578935099</v>
      </c>
      <c r="H58" s="48">
        <f t="shared" si="17"/>
        <v>0.86094844108630664</v>
      </c>
      <c r="I58" s="48">
        <f t="shared" si="17"/>
        <v>1.4684114589390687</v>
      </c>
      <c r="J58" s="48">
        <f t="shared" si="17"/>
        <v>2.0934421273291575</v>
      </c>
      <c r="K58" s="48">
        <f t="shared" si="17"/>
        <v>2.2741816515527722</v>
      </c>
      <c r="L58" s="48">
        <f t="shared" si="17"/>
        <v>2.4240221757763889</v>
      </c>
      <c r="M58" s="48">
        <f t="shared" si="17"/>
        <v>2.5379517000000007</v>
      </c>
      <c r="N58" s="48">
        <f t="shared" si="17"/>
        <v>2.4371581445642856</v>
      </c>
      <c r="O58" s="48">
        <f t="shared" si="17"/>
        <v>2.3081354784514114</v>
      </c>
      <c r="P58" s="48">
        <f t="shared" si="17"/>
        <v>2.1540413680410784</v>
      </c>
      <c r="Q58" s="48">
        <f t="shared" si="17"/>
        <v>1.9671764781196082</v>
      </c>
      <c r="R58" s="48">
        <f t="shared" si="17"/>
        <v>1.7546119232463511</v>
      </c>
      <c r="S58" s="48">
        <f t="shared" si="17"/>
        <v>1.5373665877652547</v>
      </c>
      <c r="T58" s="48">
        <f>T59+T60-T61-T62-T63-T64-T65</f>
        <v>1.3149325877652556</v>
      </c>
      <c r="U58" s="48">
        <f>U59+U60-U61-U62-U63-U64-U65</f>
        <v>1.0802080333990944</v>
      </c>
      <c r="V58" s="48">
        <f t="shared" ref="V58:W58" si="18">V59+V60-V61-V62-V63-V64-V65</f>
        <v>0.83213537075066957</v>
      </c>
      <c r="W58" s="48">
        <f t="shared" si="18"/>
        <v>0.56071081661186328</v>
      </c>
    </row>
    <row r="59" spans="2:48" outlineLevel="1" x14ac:dyDescent="0.2">
      <c r="B59" s="79" t="s">
        <v>107</v>
      </c>
      <c r="C59" s="1"/>
      <c r="D59" s="1">
        <f>D12</f>
        <v>-4.121645</v>
      </c>
      <c r="E59" s="1">
        <f>E12</f>
        <v>-1.336916</v>
      </c>
      <c r="F59" s="1">
        <f>F12</f>
        <v>3.4885699999999999E-2</v>
      </c>
      <c r="G59" s="1">
        <f t="shared" ref="G59:W59" si="19">IF(G12="",F59,G12)</f>
        <v>0.69488570000000005</v>
      </c>
      <c r="H59" s="1">
        <f t="shared" si="19"/>
        <v>1.3548857000000001</v>
      </c>
      <c r="I59" s="1">
        <f t="shared" si="19"/>
        <v>2.0148857000000002</v>
      </c>
      <c r="J59" s="1">
        <f t="shared" si="19"/>
        <v>2.6748857000000004</v>
      </c>
      <c r="K59" s="1">
        <f t="shared" si="19"/>
        <v>2.6748857000000004</v>
      </c>
      <c r="L59" s="1">
        <f t="shared" si="19"/>
        <v>2.6748857000000004</v>
      </c>
      <c r="M59" s="1">
        <f t="shared" si="19"/>
        <v>2.6748857000000004</v>
      </c>
      <c r="N59" s="1">
        <f t="shared" si="19"/>
        <v>2.6748857000000004</v>
      </c>
      <c r="O59" s="1">
        <f t="shared" si="19"/>
        <v>2.6748857000000004</v>
      </c>
      <c r="P59" s="1">
        <f t="shared" si="19"/>
        <v>2.6748857000000004</v>
      </c>
      <c r="Q59" s="1">
        <f t="shared" si="19"/>
        <v>2.6748857000000004</v>
      </c>
      <c r="R59" s="1">
        <f t="shared" si="19"/>
        <v>2.6748857000000004</v>
      </c>
      <c r="S59" s="1">
        <f t="shared" si="19"/>
        <v>2.6748857000000004</v>
      </c>
      <c r="T59" s="1">
        <f t="shared" si="19"/>
        <v>2.6748857000000004</v>
      </c>
      <c r="U59" s="1">
        <f t="shared" si="19"/>
        <v>2.6748857000000004</v>
      </c>
      <c r="V59" s="1">
        <f t="shared" si="19"/>
        <v>2.6748857000000004</v>
      </c>
      <c r="W59" s="1">
        <f t="shared" si="19"/>
        <v>2.6748857000000004</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-0.7298184934698434</v>
      </c>
      <c r="E61" s="1">
        <f t="shared" si="20"/>
        <v>0.64662902020442647</v>
      </c>
      <c r="F61" s="1">
        <f t="shared" si="20"/>
        <v>0.55205494679130895</v>
      </c>
      <c r="G61" s="1">
        <f t="shared" si="20"/>
        <v>0.41499741421064906</v>
      </c>
      <c r="H61" s="1">
        <f t="shared" si="20"/>
        <v>0.49393725891369344</v>
      </c>
      <c r="I61" s="1">
        <f t="shared" si="20"/>
        <v>0.54647424106093156</v>
      </c>
      <c r="J61" s="1">
        <f t="shared" si="20"/>
        <v>0.5814435726708429</v>
      </c>
      <c r="K61" s="1">
        <f t="shared" si="20"/>
        <v>0.38762904844722695</v>
      </c>
      <c r="L61" s="1">
        <f t="shared" si="20"/>
        <v>0.19381452422361095</v>
      </c>
      <c r="M61" s="1">
        <f t="shared" si="20"/>
        <v>0</v>
      </c>
      <c r="N61" s="1">
        <f t="shared" si="20"/>
        <v>-4.4456428478500952E-7</v>
      </c>
      <c r="O61" s="1">
        <f t="shared" si="20"/>
        <v>-1.7784514113383666E-6</v>
      </c>
      <c r="P61" s="1">
        <f t="shared" si="20"/>
        <v>-2.6680410781354527E-6</v>
      </c>
      <c r="Q61" s="1">
        <f t="shared" si="20"/>
        <v>-1.7781196076205319E-6</v>
      </c>
      <c r="R61" s="1">
        <f t="shared" si="20"/>
        <v>-2.2232463503524258E-6</v>
      </c>
      <c r="S61" s="1">
        <f t="shared" si="20"/>
        <v>-8.8776525430933617E-7</v>
      </c>
      <c r="T61" s="1">
        <f t="shared" si="20"/>
        <v>-8.8776525430933617E-7</v>
      </c>
      <c r="U61" s="1">
        <f t="shared" si="20"/>
        <v>-1.3333990923403151E-6</v>
      </c>
      <c r="V61" s="1">
        <f t="shared" si="20"/>
        <v>-2.6707506693535168E-6</v>
      </c>
      <c r="W61" s="1">
        <f t="shared" si="20"/>
        <v>-3.1166118623859874E-6</v>
      </c>
    </row>
    <row r="62" spans="2:48" outlineLevel="1" x14ac:dyDescent="0.2">
      <c r="B62" s="79" t="s">
        <v>110</v>
      </c>
      <c r="C62" s="1"/>
      <c r="D62" s="1">
        <f t="shared" ref="D62:W62" si="21">-D13</f>
        <v>0</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1.2320000000000775E-2</v>
      </c>
      <c r="L63" s="1">
        <f>IF(L$55&lt;=$C$6,0,HLOOKUP(L$55,'Input data'!$C$9:$BB$26,12,FALSE)-HLOOKUP($C$6,'Input data'!$C$9:$BB$26,12,FALSE))</f>
        <v>5.5540000000000589E-2</v>
      </c>
      <c r="M63" s="1">
        <f>IF(M$55&lt;=$C$6,0,HLOOKUP(M$55,'Input data'!$C$9:$BB$26,12,FALSE)-HLOOKUP($C$6,'Input data'!$C$9:$BB$26,12,FALSE))</f>
        <v>0.13466999999999985</v>
      </c>
      <c r="N63" s="1">
        <f>IF(N$55&lt;=$C$6,0,HLOOKUP(N$55,'Input data'!$C$9:$BB$26,12,FALSE)-HLOOKUP($C$6,'Input data'!$C$9:$BB$26,12,FALSE))</f>
        <v>0.23470999999999975</v>
      </c>
      <c r="O63" s="1">
        <f>IF(O$55&lt;=$C$6,0,HLOOKUP(O$55,'Input data'!$C$9:$BB$26,12,FALSE)-HLOOKUP($C$6,'Input data'!$C$9:$BB$26,12,FALSE))</f>
        <v>0.3629800000000003</v>
      </c>
      <c r="P63" s="1">
        <f>IF(P$55&lt;=$C$6,0,HLOOKUP(P$55,'Input data'!$C$9:$BB$26,12,FALSE)-HLOOKUP($C$6,'Input data'!$C$9:$BB$26,12,FALSE))</f>
        <v>0.51632000000000033</v>
      </c>
      <c r="Q63" s="1">
        <f>IF(Q$55&lt;=$C$6,0,HLOOKUP(Q$55,'Input data'!$C$9:$BB$26,12,FALSE)-HLOOKUP($C$6,'Input data'!$C$9:$BB$26,12,FALSE))</f>
        <v>0.70242999999999967</v>
      </c>
      <c r="R63" s="1">
        <f>IF(R$55&lt;=$C$6,0,HLOOKUP(R$55,'Input data'!$C$9:$BB$26,12,FALSE)-HLOOKUP($C$6,'Input data'!$C$9:$BB$26,12,FALSE))</f>
        <v>0.9142399999999995</v>
      </c>
      <c r="S63" s="1">
        <f>IF(S$55&lt;=$C$6,0,HLOOKUP(S$55,'Input data'!$C$9:$BB$26,12,FALSE)-HLOOKUP($C$6,'Input data'!$C$9:$BB$26,12,FALSE))</f>
        <v>1.1307299999999998</v>
      </c>
      <c r="T63" s="1">
        <f>IF(T$55&lt;=$C$6,0,HLOOKUP(T$55,'Input data'!$C$9:$BB$26,12,FALSE)-HLOOKUP($C$6,'Input data'!$C$9:$BB$26,12,FALSE))</f>
        <v>1.352409999999999</v>
      </c>
      <c r="U63" s="1">
        <f>IF(U$55&lt;=$C$6,0,HLOOKUP(U$55,'Input data'!$C$9:$BB$26,12,FALSE)-HLOOKUP($C$6,'Input data'!$C$9:$BB$26,12,FALSE))</f>
        <v>1.5863799999999983</v>
      </c>
      <c r="V63" s="1">
        <f>IF(V$55&lt;=$C$6,0,HLOOKUP(V$55,'Input data'!$C$9:$BB$26,12,FALSE)-HLOOKUP($C$6,'Input data'!$C$9:$BB$26,12,FALSE))</f>
        <v>1.8337000000000003</v>
      </c>
      <c r="W63" s="1">
        <f>IF(W$55&lt;=$C$6,0,HLOOKUP(W$55,'Input data'!$C$9:$BB$26,12,FALSE)-HLOOKUP($C$6,'Input data'!$C$9:$BB$26,12,FALSE))</f>
        <v>2.1043699999999994</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7.5500000000006118E-4</v>
      </c>
      <c r="L64" s="1">
        <f>IF(L$55&lt;=$C$6,0,-HLOOKUP(L$55,'Input data'!$C$9:$BB$26,18,FALSE)+HLOOKUP($C$6,'Input data'!$C$9:$BB$26,18,FALSE))</f>
        <v>1.5089999999999826E-3</v>
      </c>
      <c r="M64" s="1">
        <f>IF(M$55&lt;=$C$6,0,-HLOOKUP(M$55,'Input data'!$C$9:$BB$26,18,FALSE)+HLOOKUP($C$6,'Input data'!$C$9:$BB$26,18,FALSE))</f>
        <v>2.2640000000000438E-3</v>
      </c>
      <c r="N64" s="1">
        <f>IF(N$55&lt;=$C$6,0,-HLOOKUP(N$55,'Input data'!$C$9:$BB$26,18,FALSE)+HLOOKUP($C$6,'Input data'!$C$9:$BB$26,18,FALSE))</f>
        <v>3.0179999999999652E-3</v>
      </c>
      <c r="O64" s="1">
        <f>IF(O$55&lt;=$C$6,0,-HLOOKUP(O$55,'Input data'!$C$9:$BB$26,18,FALSE)+HLOOKUP($C$6,'Input data'!$C$9:$BB$26,18,FALSE))</f>
        <v>3.7720000000001086E-3</v>
      </c>
      <c r="P64" s="1">
        <f>IF(P$55&lt;=$C$6,0,-HLOOKUP(P$55,'Input data'!$C$9:$BB$26,18,FALSE)+HLOOKUP($C$6,'Input data'!$C$9:$BB$26,18,FALSE))</f>
        <v>4.5269999999999477E-3</v>
      </c>
      <c r="Q64" s="1">
        <f>IF(Q$55&lt;=$C$6,0,-HLOOKUP(Q$55,'Input data'!$C$9:$BB$26,18,FALSE)+HLOOKUP($C$6,'Input data'!$C$9:$BB$26,18,FALSE))</f>
        <v>5.2810000000000912E-3</v>
      </c>
      <c r="R64" s="1">
        <f>IF(R$55&lt;=$C$6,0,-HLOOKUP(R$55,'Input data'!$C$9:$BB$26,18,FALSE)+HLOOKUP($C$6,'Input data'!$C$9:$BB$26,18,FALSE))</f>
        <v>6.0359999999999303E-3</v>
      </c>
      <c r="S64" s="1">
        <f>IF(S$55&lt;=$C$6,0,-HLOOKUP(S$55,'Input data'!$C$9:$BB$26,18,FALSE)+HLOOKUP($C$6,'Input data'!$C$9:$BB$26,18,FALSE))</f>
        <v>6.7900000000000738E-3</v>
      </c>
      <c r="T64" s="1">
        <f>IF(T$55&lt;=$C$6,0,-HLOOKUP(T$55,'Input data'!$C$9:$BB$26,18,FALSE)+HLOOKUP($C$6,'Input data'!$C$9:$BB$26,18,FALSE))</f>
        <v>7.5439999999999952E-3</v>
      </c>
      <c r="U64" s="1">
        <f>IF(U$55&lt;=$C$6,0,-HLOOKUP(U$55,'Input data'!$C$9:$BB$26,18,FALSE)+HLOOKUP($C$6,'Input data'!$C$9:$BB$26,18,FALSE))</f>
        <v>8.2990000000000563E-3</v>
      </c>
      <c r="V64" s="1">
        <f>IF(V$55&lt;=$C$6,0,-HLOOKUP(V$55,'Input data'!$C$9:$BB$26,18,FALSE)+HLOOKUP($C$6,'Input data'!$C$9:$BB$26,18,FALSE))</f>
        <v>9.0529999999999777E-3</v>
      </c>
      <c r="W64" s="1">
        <f>IF(W$55&lt;=$C$6,0,-HLOOKUP(W$55,'Input data'!$C$9:$BB$26,18,FALSE)+HLOOKUP($C$6,'Input data'!$C$9:$BB$26,18,FALSE))</f>
        <v>9.8080000000000389E-3</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-9.5102200000000003</v>
      </c>
      <c r="E66" s="48">
        <f t="shared" si="22"/>
        <v>-4.272996</v>
      </c>
      <c r="F66" s="48">
        <f t="shared" si="22"/>
        <v>-0.37506469999999997</v>
      </c>
      <c r="G66" s="48">
        <f>SUM(G67:G70)</f>
        <v>-0.48234998760245207</v>
      </c>
      <c r="H66" s="48">
        <f>SUM(H67:H70)</f>
        <v>0.15182018578625112</v>
      </c>
      <c r="I66" s="48">
        <f t="shared" si="22"/>
        <v>0.31901336802165181</v>
      </c>
      <c r="J66" s="48">
        <f t="shared" si="22"/>
        <v>0.44927581488183677</v>
      </c>
      <c r="K66" s="48">
        <f t="shared" si="22"/>
        <v>0.24575755176587677</v>
      </c>
      <c r="L66" s="48">
        <f t="shared" si="22"/>
        <v>0.26484749481897429</v>
      </c>
      <c r="M66" s="48">
        <f t="shared" si="22"/>
        <v>0.34032766486748667</v>
      </c>
      <c r="N66" s="48">
        <f t="shared" si="22"/>
        <v>0.73789850774975863</v>
      </c>
      <c r="O66" s="48">
        <f t="shared" si="22"/>
        <v>0.77451985524739619</v>
      </c>
      <c r="P66" s="48">
        <f t="shared" si="22"/>
        <v>0.77654351936163524</v>
      </c>
      <c r="Q66" s="48">
        <f t="shared" si="22"/>
        <v>0.77553652401120354</v>
      </c>
      <c r="R66" s="48">
        <f t="shared" si="22"/>
        <v>0.77254505231788606</v>
      </c>
      <c r="S66" s="48">
        <f t="shared" si="22"/>
        <v>0.75118113504062412</v>
      </c>
      <c r="T66" s="48">
        <f t="shared" si="22"/>
        <v>0.75513134867186271</v>
      </c>
      <c r="U66" s="48">
        <f>SUM(U67:U70)</f>
        <v>0.75948296988734021</v>
      </c>
      <c r="V66" s="48">
        <f t="shared" ref="V66:W66" si="23">SUM(V67:V70)</f>
        <v>0.7527469667608313</v>
      </c>
      <c r="W66" s="48">
        <f t="shared" si="23"/>
        <v>0.73745875466482147</v>
      </c>
    </row>
    <row r="67" spans="2:23" outlineLevel="1" x14ac:dyDescent="0.2">
      <c r="B67" s="79" t="s">
        <v>115</v>
      </c>
      <c r="C67" s="34"/>
      <c r="D67" s="34">
        <f>C56*D35/100*(1/(1+D32/100))</f>
        <v>2.836285671073747</v>
      </c>
      <c r="E67" s="34">
        <f t="shared" ref="E67:F67" si="24">D56*E35/100*(1/(1+E32/100))</f>
        <v>4.7084400584753539</v>
      </c>
      <c r="F67" s="34">
        <f t="shared" si="24"/>
        <v>4.9181599323084875</v>
      </c>
      <c r="G67" s="34">
        <f>F56*G35/100*(1/(1+G32/100))</f>
        <v>4.1678600033081201</v>
      </c>
      <c r="H67" s="34">
        <f t="shared" ref="H67:W67" si="25">G56*H35/100*(1/(1+H32/100))</f>
        <v>4.2552478337630983</v>
      </c>
      <c r="I67" s="34">
        <f t="shared" si="25"/>
        <v>4.2812736612509488</v>
      </c>
      <c r="J67" s="34">
        <f t="shared" si="25"/>
        <v>4.2648742213239919</v>
      </c>
      <c r="K67" s="34">
        <f t="shared" si="25"/>
        <v>4.283924959697635</v>
      </c>
      <c r="L67" s="34">
        <f t="shared" si="25"/>
        <v>4.1426452350358201</v>
      </c>
      <c r="M67" s="34">
        <f t="shared" si="25"/>
        <v>4.027888292418222</v>
      </c>
      <c r="N67" s="34">
        <f t="shared" si="25"/>
        <v>3.9249116476556134</v>
      </c>
      <c r="O67" s="34">
        <f t="shared" si="25"/>
        <v>3.8259718707395707</v>
      </c>
      <c r="P67" s="34">
        <f t="shared" si="25"/>
        <v>3.7254258046722932</v>
      </c>
      <c r="Q67" s="34">
        <f t="shared" si="25"/>
        <v>3.6307204840258538</v>
      </c>
      <c r="R67" s="34">
        <f t="shared" si="25"/>
        <v>3.5441146480719543</v>
      </c>
      <c r="S67" s="34">
        <f t="shared" si="25"/>
        <v>3.4662979866428842</v>
      </c>
      <c r="T67" s="34">
        <f t="shared" si="25"/>
        <v>3.3992266780980209</v>
      </c>
      <c r="U67" s="34">
        <f t="shared" si="25"/>
        <v>3.3432843141218305</v>
      </c>
      <c r="V67" s="34">
        <f t="shared" si="25"/>
        <v>3.2984907818643734</v>
      </c>
      <c r="W67" s="34">
        <f t="shared" si="25"/>
        <v>3.2649994672408034</v>
      </c>
    </row>
    <row r="68" spans="2:23" outlineLevel="1" x14ac:dyDescent="0.2">
      <c r="B68" s="79" t="s">
        <v>116</v>
      </c>
      <c r="C68" s="34"/>
      <c r="D68" s="34">
        <f t="shared" ref="D68:W68" si="26">-C56*(D23/100)*(1/(1+D32/100))</f>
        <v>-2.9421952723110931</v>
      </c>
      <c r="E68" s="34">
        <f t="shared" si="26"/>
        <v>0.5911702124935545</v>
      </c>
      <c r="F68" s="34">
        <f t="shared" si="26"/>
        <v>-1.6474964224300812</v>
      </c>
      <c r="G68" s="34">
        <f t="shared" si="26"/>
        <v>-1.9385760353964872</v>
      </c>
      <c r="H68" s="34">
        <f>-G56*(H23/100)*(1/(1+H32/100))</f>
        <v>-1.4503125984805385</v>
      </c>
      <c r="I68" s="34">
        <f t="shared" si="26"/>
        <v>-1.3847915507067456</v>
      </c>
      <c r="J68" s="34">
        <f t="shared" si="26"/>
        <v>-1.3280856075960334</v>
      </c>
      <c r="K68" s="34">
        <f t="shared" si="26"/>
        <v>-1.655855183961638</v>
      </c>
      <c r="L68" s="34">
        <f t="shared" si="26"/>
        <v>-1.6112389312573197</v>
      </c>
      <c r="M68" s="34">
        <f t="shared" si="26"/>
        <v>-1.5382731470829027</v>
      </c>
      <c r="N68" s="34">
        <f t="shared" si="26"/>
        <v>-1.1533035024026235</v>
      </c>
      <c r="O68" s="34">
        <f t="shared" si="26"/>
        <v>-1.1148448988079658</v>
      </c>
      <c r="P68" s="34">
        <f t="shared" si="26"/>
        <v>-1.0659602427212682</v>
      </c>
      <c r="Q68" s="34">
        <f t="shared" si="26"/>
        <v>-1.0208210757297309</v>
      </c>
      <c r="R68" s="34">
        <f t="shared" si="26"/>
        <v>-0.9797698819429006</v>
      </c>
      <c r="S68" s="34">
        <f t="shared" si="26"/>
        <v>-0.95921101022697952</v>
      </c>
      <c r="T68" s="34">
        <f t="shared" si="26"/>
        <v>-0.91789510261945551</v>
      </c>
      <c r="U68" s="34">
        <f t="shared" si="26"/>
        <v>-0.88024576854712577</v>
      </c>
      <c r="V68" s="34">
        <f t="shared" si="26"/>
        <v>-0.85745293568869341</v>
      </c>
      <c r="W68" s="34">
        <f t="shared" si="26"/>
        <v>-0.8471368257955989</v>
      </c>
    </row>
    <row r="69" spans="2:23" outlineLevel="1" x14ac:dyDescent="0.2">
      <c r="B69" s="79" t="s">
        <v>117</v>
      </c>
      <c r="C69" s="34"/>
      <c r="D69" s="34">
        <f t="shared" ref="D69:T69" si="27">-C56*D41/100*(1/(1+D41/100))</f>
        <v>-9.5541390828261328</v>
      </c>
      <c r="E69" s="34">
        <f t="shared" si="27"/>
        <v>-9.5187472343543398</v>
      </c>
      <c r="F69" s="34">
        <f t="shared" si="27"/>
        <v>-3.7005483331888849</v>
      </c>
      <c r="G69" s="34">
        <f t="shared" si="27"/>
        <v>-2.7195800094546931</v>
      </c>
      <c r="H69" s="34">
        <f>-G56*H41/100*(1/(1+H41/100))</f>
        <v>-2.6531150494963089</v>
      </c>
      <c r="I69" s="34">
        <f t="shared" si="27"/>
        <v>-2.5774687425225511</v>
      </c>
      <c r="J69" s="34">
        <f t="shared" si="27"/>
        <v>-2.4875127988461214</v>
      </c>
      <c r="K69" s="34">
        <f t="shared" si="27"/>
        <v>-2.3823122239701204</v>
      </c>
      <c r="L69" s="34">
        <f t="shared" si="27"/>
        <v>-2.2665588089595263</v>
      </c>
      <c r="M69" s="34">
        <f t="shared" si="27"/>
        <v>-2.1492874804678328</v>
      </c>
      <c r="N69" s="34">
        <f t="shared" si="27"/>
        <v>-2.0337096375032311</v>
      </c>
      <c r="O69" s="34">
        <f t="shared" si="27"/>
        <v>-1.9366071166842085</v>
      </c>
      <c r="P69" s="34">
        <f t="shared" si="27"/>
        <v>-1.88292204258939</v>
      </c>
      <c r="Q69" s="34">
        <f t="shared" si="27"/>
        <v>-1.8343628842849191</v>
      </c>
      <c r="R69" s="34">
        <f t="shared" si="27"/>
        <v>-1.7917997138111676</v>
      </c>
      <c r="S69" s="34">
        <f>-R56*S41/100*(1/(1+S41/100))</f>
        <v>-1.7559058413752806</v>
      </c>
      <c r="T69" s="34">
        <f t="shared" si="27"/>
        <v>-1.7262002268067025</v>
      </c>
      <c r="U69" s="34">
        <f t="shared" ref="U69" si="28">-T56*U41/100*(1/(1+U41/100))</f>
        <v>-1.7035555756873644</v>
      </c>
      <c r="V69" s="34">
        <f t="shared" ref="V69" si="29">-U56*V41/100*(1/(1+V41/100))</f>
        <v>-1.6882908794148486</v>
      </c>
      <c r="W69" s="34">
        <f t="shared" ref="W69" si="30">-V56*W41/100*(1/(1+W41/100))</f>
        <v>-1.680403886780383</v>
      </c>
    </row>
    <row r="70" spans="2:23" outlineLevel="1" x14ac:dyDescent="0.2">
      <c r="B70" s="79" t="s">
        <v>118</v>
      </c>
      <c r="C70" s="49"/>
      <c r="D70" s="49">
        <f>'Baseline NFPC'!D70</f>
        <v>0.14982868406347905</v>
      </c>
      <c r="E70" s="49">
        <f>'Baseline NFPC'!E70</f>
        <v>-5.3859036614568367E-2</v>
      </c>
      <c r="F70" s="49">
        <f>'Baseline NFPC'!F70</f>
        <v>5.4820123310478863E-2</v>
      </c>
      <c r="G70" s="49">
        <f>'Baseline NFPC'!G70</f>
        <v>7.9460539406078778E-3</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3.4867119999999998</v>
      </c>
      <c r="E71" s="50">
        <f>'Input data'!E16</f>
        <v>1.75285</v>
      </c>
      <c r="F71" s="50">
        <f>'Input data'!F16</f>
        <v>0.62550260000000002</v>
      </c>
      <c r="G71" s="50">
        <f>'Input data'!G16</f>
        <v>0.3284956</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1">D14</f>
        <v>9.56404E-2</v>
      </c>
      <c r="E72" s="34">
        <f t="shared" si="31"/>
        <v>2.4978720000000001</v>
      </c>
      <c r="F72" s="34">
        <f t="shared" si="31"/>
        <v>-0.13437760000000001</v>
      </c>
      <c r="G72" s="34">
        <f t="shared" si="31"/>
        <v>0.1957401</v>
      </c>
      <c r="H72" s="34">
        <f t="shared" si="31"/>
        <v>0</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9" t="s">
        <v>121</v>
      </c>
      <c r="C73" s="49"/>
      <c r="D73" s="49">
        <f>+D71-D72</f>
        <v>3.3910715999999996</v>
      </c>
      <c r="E73" s="49">
        <f t="shared" ref="E73:T73" si="32">+E71-E72</f>
        <v>-0.74502200000000007</v>
      </c>
      <c r="F73" s="49">
        <f t="shared" si="32"/>
        <v>0.75988020000000001</v>
      </c>
      <c r="G73" s="49">
        <f t="shared" si="32"/>
        <v>0.1327555</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187</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0</v>
      </c>
      <c r="S75" s="51">
        <f t="shared" si="34"/>
        <v>0</v>
      </c>
      <c r="T75" s="51">
        <f t="shared" si="34"/>
        <v>0</v>
      </c>
      <c r="U75" s="51">
        <f t="shared" si="34"/>
        <v>0</v>
      </c>
      <c r="V75" s="51">
        <f t="shared" si="34"/>
        <v>0</v>
      </c>
      <c r="W75" s="51">
        <f t="shared" si="34"/>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1</v>
      </c>
      <c r="F79" s="111">
        <f t="shared" si="35"/>
        <v>1</v>
      </c>
      <c r="G79" s="111">
        <f>IF((G83-F83*G42/((1+G23/100)*(1+G41/100)))&gt;0,1,0)</f>
        <v>1</v>
      </c>
      <c r="H79" s="111">
        <f t="shared" ref="H79:W79" si="36">IF((H83-G83*H42/((1+H23/100)*(1+H41/100)))&gt;0,1,0)</f>
        <v>1</v>
      </c>
      <c r="I79" s="111">
        <f t="shared" si="36"/>
        <v>1</v>
      </c>
      <c r="J79" s="111">
        <f t="shared" si="36"/>
        <v>1</v>
      </c>
      <c r="K79" s="111">
        <f t="shared" si="36"/>
        <v>1</v>
      </c>
      <c r="L79" s="111">
        <f t="shared" si="36"/>
        <v>1</v>
      </c>
      <c r="M79" s="111">
        <f t="shared" si="36"/>
        <v>1</v>
      </c>
      <c r="N79" s="111">
        <f t="shared" si="36"/>
        <v>1</v>
      </c>
      <c r="O79" s="111">
        <f t="shared" si="36"/>
        <v>1</v>
      </c>
      <c r="P79" s="111">
        <f t="shared" si="36"/>
        <v>1</v>
      </c>
      <c r="Q79" s="111">
        <f t="shared" si="36"/>
        <v>1</v>
      </c>
      <c r="R79" s="111">
        <f t="shared" si="36"/>
        <v>1</v>
      </c>
      <c r="S79" s="111">
        <f t="shared" si="36"/>
        <v>1</v>
      </c>
      <c r="T79" s="111">
        <f t="shared" si="36"/>
        <v>1</v>
      </c>
      <c r="U79" s="111">
        <f t="shared" si="36"/>
        <v>1</v>
      </c>
      <c r="V79" s="111">
        <f t="shared" si="36"/>
        <v>1</v>
      </c>
      <c r="W79" s="111">
        <f t="shared" si="36"/>
        <v>1</v>
      </c>
    </row>
    <row r="80" spans="2:23" x14ac:dyDescent="0.2">
      <c r="B80" s="26" t="s">
        <v>126</v>
      </c>
      <c r="E80" s="111">
        <f t="shared" ref="E80:F80" si="37">IF(AND(E79=0,ABS(E83-D83*E42/((1+E23/100)*(1+E41/100)))&lt;((D89*D83*E42/((1+E23/100)*(1+E41/100))+(E38*D83*D90*E42/((1+E23/100)*(1+E41/100)))))),1,0)</f>
        <v>0</v>
      </c>
      <c r="F80" s="111">
        <f t="shared" si="37"/>
        <v>0</v>
      </c>
      <c r="G80" s="111">
        <f>IF(AND(G79=0,ABS(G83-F83*G42/((1+G23/100)*(1+G41/100)))&lt;((F89*F83*G42/((1+G23/100)*(1+G41/100))+(G38*F83*F90*G42/((1+G23/100)*(1+G41/100)))))),1,0)</f>
        <v>0</v>
      </c>
      <c r="H80" s="111">
        <f t="shared" ref="H80:W80" si="38">IF(AND(H79=0,ABS(H83-G83*H42/((1+H23/100)*(1+H41/100)))&lt;((G89*G83*H42/((1+H23/100)*(1+H41/100))+(H38*G83*G90*H42/((1+H23/100)*(1+H41/100)))))),1,0)</f>
        <v>0</v>
      </c>
      <c r="I80" s="111">
        <f t="shared" si="38"/>
        <v>0</v>
      </c>
      <c r="J80" s="111">
        <f t="shared" si="38"/>
        <v>0</v>
      </c>
      <c r="K80" s="111">
        <f t="shared" si="38"/>
        <v>0</v>
      </c>
      <c r="L80" s="111">
        <f t="shared" si="38"/>
        <v>0</v>
      </c>
      <c r="M80" s="111">
        <f t="shared" si="38"/>
        <v>0</v>
      </c>
      <c r="N80" s="111">
        <f t="shared" si="38"/>
        <v>0</v>
      </c>
      <c r="O80" s="111">
        <f t="shared" si="38"/>
        <v>0</v>
      </c>
      <c r="P80" s="111">
        <f t="shared" si="38"/>
        <v>0</v>
      </c>
      <c r="Q80" s="111">
        <f t="shared" si="38"/>
        <v>0</v>
      </c>
      <c r="R80" s="111">
        <f t="shared" si="38"/>
        <v>0</v>
      </c>
      <c r="S80" s="111">
        <f t="shared" si="38"/>
        <v>0</v>
      </c>
      <c r="T80" s="111">
        <f t="shared" si="38"/>
        <v>0</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76.688640000000007</v>
      </c>
      <c r="D83" s="110">
        <f>D56</f>
        <v>74.056958506530165</v>
      </c>
      <c r="E83" s="110">
        <f>E56</f>
        <v>73.520357526734585</v>
      </c>
      <c r="F83" s="110">
        <f>F56</f>
        <v>74.287964673525892</v>
      </c>
      <c r="G83" s="110">
        <f>G56</f>
        <v>73.854222000134087</v>
      </c>
      <c r="H83" s="110">
        <f>G83*(1+H97/100)*H42-H59-H60+H61+H62+H63+H64+H65+H71</f>
        <v>73.145093744834043</v>
      </c>
      <c r="I83" s="110">
        <f t="shared" ref="I83:T83" si="39">H83*(1+I97/100)*I42-I59-I60+I61+I62+I63+I64+I65+I71</f>
        <v>71.995695653916627</v>
      </c>
      <c r="J83" s="110">
        <f t="shared" si="39"/>
        <v>70.351529341469316</v>
      </c>
      <c r="K83" s="110">
        <f t="shared" si="39"/>
        <v>68.323105241682413</v>
      </c>
      <c r="L83" s="110">
        <f t="shared" si="39"/>
        <v>66.163930560724992</v>
      </c>
      <c r="M83" s="110">
        <f t="shared" si="39"/>
        <v>63.966306525592479</v>
      </c>
      <c r="N83" s="110">
        <f t="shared" si="39"/>
        <v>62.267046888777948</v>
      </c>
      <c r="O83" s="110">
        <f t="shared" si="39"/>
        <v>60.733431265573927</v>
      </c>
      <c r="P83" s="110">
        <f t="shared" si="39"/>
        <v>59.355933416894501</v>
      </c>
      <c r="Q83" s="110">
        <f t="shared" si="39"/>
        <v>58.164293462786105</v>
      </c>
      <c r="R83" s="110">
        <f t="shared" si="39"/>
        <v>57.182226591857642</v>
      </c>
      <c r="S83" s="110">
        <f t="shared" si="39"/>
        <v>56.396041139133018</v>
      </c>
      <c r="T83" s="110">
        <f t="shared" si="39"/>
        <v>55.836239900039644</v>
      </c>
      <c r="U83" s="110">
        <f>T83*(1+U97/100)*U42-U59-U60+U61+U62+U63+U64+U65+U71</f>
        <v>55.515514836527878</v>
      </c>
      <c r="V83" s="110">
        <f t="shared" ref="V83:W83" si="40">U83*(1+V97/100)*V42-V59-V60+V61+V62+V63+V64+V65+V71</f>
        <v>55.436126432538039</v>
      </c>
      <c r="W83" s="110">
        <f t="shared" si="40"/>
        <v>55.61287437059098</v>
      </c>
    </row>
    <row r="84" spans="2:23" x14ac:dyDescent="0.2">
      <c r="B84" s="26" t="s">
        <v>127</v>
      </c>
      <c r="C84" s="34"/>
      <c r="D84" s="254">
        <f>'Input data'!C66*$D$83</f>
        <v>59.783430721748879</v>
      </c>
      <c r="E84" s="34">
        <f t="shared" ref="E84" si="41">IF(E83=0,0,IF(E79=1,D83*E42/((1+E23/100)*(1+E41/100))-E85-E86,IF(AND(E79=0,E80=1),(1-D89-E38*D90)*D83*E42/((1+E23/100)*(1+E41/100)),E83)))</f>
        <v>57.543983859764531</v>
      </c>
      <c r="F84" s="34">
        <f t="shared" ref="F84" si="42">IF(F83=0,0,IF(F79=1,E83*F42/((1+F23/100)*(1+F41/100))-F85-F86,IF(AND(F79=0,F80=1),(1-E89-F38*E90)*E83*F42/((1+F23/100)*(1+F41/100)),F83)))</f>
        <v>60.461160881524357</v>
      </c>
      <c r="G84" s="34">
        <f t="shared" ref="G84" si="43">IF(G83=0,0,IF(G79=1,F83*G42/((1+G23/100)*(1+G41/100))-G85-G86,IF(AND(G79=0,G80=1),(1-F89-G38*F90)*F83*G42/((1+G23/100)*(1+G41/100)),G83)))</f>
        <v>61.088794442536802</v>
      </c>
      <c r="H84" s="34">
        <f t="shared" ref="H84:W84" si="44">IF(H83=0,0,IF(H79=1,G83*H42/((1+H23/100)*(1+H41/100))-H85-H86,IF(AND(H79=0,H80=1),(1-G89-H38*G90)*G83*H42/((1+H23/100)*(1+H41/100)),H83)))</f>
        <v>60.983492914591722</v>
      </c>
      <c r="I84" s="34">
        <f t="shared" si="44"/>
        <v>60.396800799453061</v>
      </c>
      <c r="J84" s="34">
        <f t="shared" si="44"/>
        <v>59.435195481754349</v>
      </c>
      <c r="K84" s="34">
        <f t="shared" si="44"/>
        <v>57.726509990851135</v>
      </c>
      <c r="L84" s="34">
        <f t="shared" si="44"/>
        <v>56.02185049764546</v>
      </c>
      <c r="M84" s="34">
        <f t="shared" si="44"/>
        <v>54.235141297535634</v>
      </c>
      <c r="N84" s="34">
        <f t="shared" si="44"/>
        <v>52.689559987030478</v>
      </c>
      <c r="O84" s="34">
        <f t="shared" si="44"/>
        <v>51.263489624416906</v>
      </c>
      <c r="P84" s="34">
        <f t="shared" si="44"/>
        <v>50.019892064552458</v>
      </c>
      <c r="Q84" s="34">
        <f t="shared" si="44"/>
        <v>48.903825356338565</v>
      </c>
      <c r="R84" s="34">
        <f t="shared" si="44"/>
        <v>47.939858479730432</v>
      </c>
      <c r="S84" s="34">
        <f t="shared" si="44"/>
        <v>47.133636613752699</v>
      </c>
      <c r="T84" s="34">
        <f t="shared" si="44"/>
        <v>46.509386586656468</v>
      </c>
      <c r="U84" s="34">
        <f t="shared" si="44"/>
        <v>46.07156918911825</v>
      </c>
      <c r="V84" s="34">
        <f t="shared" si="44"/>
        <v>45.821147659534851</v>
      </c>
      <c r="W84" s="34">
        <f t="shared" si="44"/>
        <v>45.762080988855537</v>
      </c>
    </row>
    <row r="85" spans="2:23" x14ac:dyDescent="0.2">
      <c r="B85" s="105" t="s">
        <v>128</v>
      </c>
      <c r="C85" s="34"/>
      <c r="D85" s="254">
        <f>'Input data'!C67*$D$83</f>
        <v>3.8296324056498476</v>
      </c>
      <c r="E85" s="34">
        <f t="shared" ref="E85" si="45">IF(E83=0,0,IF(E79=1,E38*D83*D90*E42/((1+E23/100)*(1+E41/100)),IF(AND(E79=0,E80=1),(E38*D83*D90*E42/((1+E23/100)*(1+E41/100)))*(1-ABS(E83-D83*E42/((1+E23/100)*(1+E41/100)))/((E38*D83*D90*E42/((1+E23/100)*(1+E41/100)))+(D89*D83*E42/((1+E23/100)*(1+E41/100))))),0)))</f>
        <v>3.0580010029883016</v>
      </c>
      <c r="F85" s="34">
        <f t="shared" ref="F85" si="46">IF(F83=0,0,IF(F79=1,F38*E83*E90*F42/((1+F23/100)*(1+F41/100)),IF(AND(F79=0,F80=1),(F38*E83*E90*F42/((1+F23/100)*(1+F41/100)))*(1-ABS(F83-E83*F42/((1+F23/100)*(1+F41/100)))/((F38*E83*E90*F42/((1+F23/100)*(1+F41/100)))+(E89*E83*F42/((1+F23/100)*(1+F41/100))))),0)))</f>
        <v>4.3719460048068246</v>
      </c>
      <c r="G85" s="34">
        <f t="shared" ref="G85" si="47">IF(G83=0,0,IF(G79=1,G38*F83*F90*G42/((1+G23/100)*(1+G41/100)),IF(AND(G79=0,G80=1),(G38*F83*F90*G42/((1+G23/100)*(1+G41/100)))*(1-ABS(G83-F83*G42/((1+G23/100)*(1+G41/100)))/((G38*F83*F90*G42/((1+G23/100)*(1+G41/100)))+(F89*F83*G42/((1+G23/100)*(1+G41/100))))),0)))</f>
        <v>4.5004929839320518</v>
      </c>
      <c r="H85" s="34">
        <f t="shared" ref="H85:W85" si="48">IF(H83=0,0,IF(H79=1,H38*G83*G90*H42/((1+H23/100)*(1+H41/100)),IF(AND(H79=0,H80=1),(H38*G83*G90*H42/((1+H23/100)*(1+H41/100)))*(1-ABS(H83-G83*H42/((1+H23/100)*(1+H41/100)))/((H38*G83*G90*H42/((1+H23/100)*(1+H41/100)))+(G89*G83*H42/((1+H23/100)*(1+H41/100))))),0)))</f>
        <v>4.5759657916840011</v>
      </c>
      <c r="I85" s="34">
        <f t="shared" si="48"/>
        <v>4.6145823022394827</v>
      </c>
      <c r="J85" s="34">
        <f t="shared" si="48"/>
        <v>4.6226425646089</v>
      </c>
      <c r="K85" s="34">
        <f t="shared" si="48"/>
        <v>4.5691368600102011</v>
      </c>
      <c r="L85" s="34">
        <f t="shared" si="48"/>
        <v>4.5114524337463857</v>
      </c>
      <c r="M85" s="34">
        <f t="shared" si="48"/>
        <v>4.4425380203427345</v>
      </c>
      <c r="N85" s="34">
        <f t="shared" si="48"/>
        <v>4.3889553391066904</v>
      </c>
      <c r="O85" s="34">
        <f t="shared" si="48"/>
        <v>4.3413917010491287</v>
      </c>
      <c r="P85" s="34">
        <f t="shared" si="48"/>
        <v>4.2360741706703742</v>
      </c>
      <c r="Q85" s="34">
        <f t="shared" si="48"/>
        <v>4.1415569464166975</v>
      </c>
      <c r="R85" s="34">
        <f t="shared" si="48"/>
        <v>4.0599207209304113</v>
      </c>
      <c r="S85" s="34">
        <f t="shared" si="48"/>
        <v>3.9916435719535515</v>
      </c>
      <c r="T85" s="34">
        <f t="shared" si="48"/>
        <v>3.9387772160563808</v>
      </c>
      <c r="U85" s="34">
        <f t="shared" si="48"/>
        <v>3.9016994277479164</v>
      </c>
      <c r="V85" s="34">
        <f t="shared" si="48"/>
        <v>3.8804917815602953</v>
      </c>
      <c r="W85" s="34">
        <f t="shared" si="48"/>
        <v>3.8754895556920497</v>
      </c>
    </row>
    <row r="86" spans="2:23" x14ac:dyDescent="0.2">
      <c r="B86" s="105" t="s">
        <v>129</v>
      </c>
      <c r="C86" s="34"/>
      <c r="D86" s="254">
        <f>'Input data'!C68*$D$83</f>
        <v>3.9703023838181903</v>
      </c>
      <c r="E86" s="34">
        <f t="shared" ref="E86" si="49">IF(E83=0,0,IF(E79=1,(1-D90)*D83*E42/((1+E23/100)*(1+E41/100)),IF(AND(E79=0,E80=1),(D89*D83*E42/((1+E23/100)*(1+E41/100)))*(1-ABS(E83-D83*E42/((1+E23/100)*(1+E41/100)))/((E38*D83*D90*E42/((1+E23/100)*(1+E41/100)))+(D89*D83*E42/((1+E23/100)*(1+E41/100))))),0)))</f>
        <v>3.782375114175264</v>
      </c>
      <c r="F86" s="34">
        <f t="shared" ref="F86" si="50">IF(F83=0,0,IF(F79=1,(1-E90)*E83*F42/((1+F23/100)*(1+F41/100)),IF(AND(F79=0,F80=1),(E89*E83*F42/((1+F23/100)*(1+F41/100)))*(1-ABS(F83-E83*F42/((1+F23/100)*(1+F41/100)))/((F38*E83*E90*F42/((1+F23/100)*(1+F41/100)))+(E89*E83*F42/((1+F23/100)*(1+F41/100))))),0)))</f>
        <v>4.0990544829312858</v>
      </c>
      <c r="G86" s="34">
        <f t="shared" ref="G86" si="51">IF(G83=0,0,IF(G79=1,(1-F90)*F83*G42/((1+G23/100)*(1+G41/100)),IF(AND(G79=0,G80=1),(F89*F83*G42/((1+G23/100)*(1+G41/100)))*(1-ABS(G83-F83*G42/((1+G23/100)*(1+G41/100)))/((G38*F83*F90*G42/((1+G23/100)*(1+G41/100)))+(F89*F83*G42/((1+G23/100)*(1+G41/100))))),0)))</f>
        <v>4.1739319155383994</v>
      </c>
      <c r="H86" s="34">
        <f t="shared" ref="H86:W86" si="52">IF(H83=0,0,IF(H79=1,(1-G90)*G83*H42/((1+H23/100)*(1+H41/100)),IF(AND(H79=0,H80=1),(G89*G83*H42/((1+H23/100)*(1+H41/100)))*(1-ABS(H83-G83*H42/((1+H23/100)*(1+H41/100)))/((H38*G83*G90*H42/((1+H23/100)*(1+H41/100)))+(G89*G83*H42/((1+H23/100)*(1+H41/100))))),0)))</f>
        <v>4.1913356458815203</v>
      </c>
      <c r="I86" s="34">
        <f t="shared" si="52"/>
        <v>4.1714503499122033</v>
      </c>
      <c r="J86" s="34">
        <f t="shared" si="52"/>
        <v>4.1222592011112278</v>
      </c>
      <c r="K86" s="34">
        <f t="shared" si="52"/>
        <v>4.0177150826762285</v>
      </c>
      <c r="L86" s="34">
        <f t="shared" si="52"/>
        <v>3.9120045700737189</v>
      </c>
      <c r="M86" s="34">
        <f t="shared" si="52"/>
        <v>3.798690615295881</v>
      </c>
      <c r="N86" s="34">
        <f t="shared" si="52"/>
        <v>3.7007780595494468</v>
      </c>
      <c r="O86" s="34">
        <f t="shared" si="52"/>
        <v>3.6107135478197319</v>
      </c>
      <c r="P86" s="34">
        <f t="shared" si="52"/>
        <v>3.5285827450404486</v>
      </c>
      <c r="Q86" s="34">
        <f t="shared" si="52"/>
        <v>3.4553671541245885</v>
      </c>
      <c r="R86" s="34">
        <f t="shared" si="52"/>
        <v>3.3929446663711893</v>
      </c>
      <c r="S86" s="34">
        <f t="shared" si="52"/>
        <v>3.3418295545491268</v>
      </c>
      <c r="T86" s="34">
        <f t="shared" si="52"/>
        <v>3.3037820069940138</v>
      </c>
      <c r="U86" s="34">
        <f t="shared" si="52"/>
        <v>3.2791699389389741</v>
      </c>
      <c r="V86" s="34">
        <f t="shared" si="52"/>
        <v>3.2681315803291882</v>
      </c>
      <c r="W86" s="34">
        <f t="shared" si="52"/>
        <v>3.2710151754144601</v>
      </c>
    </row>
    <row r="87" spans="2:23" x14ac:dyDescent="0.2">
      <c r="B87" s="105" t="s">
        <v>130</v>
      </c>
      <c r="C87" s="34"/>
      <c r="D87" s="254">
        <f>'Input data'!C69*$D$83</f>
        <v>6.0932860543360015</v>
      </c>
      <c r="E87" s="34">
        <f>IF(E83=0,0,IF(E79=1,'Input data'!$C$58*(E83-D83*E42/((1+E23/100)*(1+E41/100))),0))</f>
        <v>8.5464808631096361</v>
      </c>
      <c r="F87" s="34">
        <f>IF(F83=0,0,IF(F79=1,'Input data'!$C$58*(F83-E83*F42/((1+F23/100)*(1+F41/100))),0))</f>
        <v>5.0102104556098732</v>
      </c>
      <c r="G87" s="34">
        <f>IF(G83=0,0,IF(G79=1,'Input data'!$C$58*(G83-F83*G42/((1+G23/100)*(1+G41/100))),0))</f>
        <v>3.8270233478064206</v>
      </c>
      <c r="H87" s="34">
        <f>IF(H83=0,0,IF(H79=1,'Input data'!$C$58*(H83-G83*H42/((1+H23/100)*(1+H41/100))),0))</f>
        <v>3.1752761146254223</v>
      </c>
      <c r="I87" s="34">
        <f>IF(I83=0,0,IF(I79=1,'Input data'!$C$58*(I83-H83*I42/((1+I23/100)*(1+I41/100))),0))</f>
        <v>2.6313572055557386</v>
      </c>
      <c r="J87" s="34">
        <f>IF(J83=0,0,IF(J79=1,'Input data'!$C$58*(J83-I83*J42/((1+J23/100)*(1+J41/100))),0))</f>
        <v>2.0313165295520519</v>
      </c>
      <c r="K87" s="34">
        <f>IF(K83=0,0,IF(K79=1,'Input data'!$C$58*(K83-J83*K42/((1+K23/100)*(1+K41/100))),0))</f>
        <v>1.8800610036488477</v>
      </c>
      <c r="L87" s="34">
        <f>IF(L83=0,0,IF(L79=1,'Input data'!$C$58*(L83-K83*L42/((1+L23/100)*(1+L41/100))),0))</f>
        <v>1.6077258128392071</v>
      </c>
      <c r="M87" s="34">
        <f>IF(M83=0,0,IF(M79=1,'Input data'!$C$58*(M83-L83*M42/((1+M23/100)*(1+M41/100))),0))</f>
        <v>1.3937957519065725</v>
      </c>
      <c r="N87" s="34">
        <f>IF(N83=0,0,IF(N79=1,'Input data'!$C$58*(N83-M83*N42/((1+N23/100)*(1+N41/100))),0))</f>
        <v>1.391753530348053</v>
      </c>
      <c r="O87" s="34">
        <f>IF(O83=0,0,IF(O79=1,'Input data'!$C$58*(O83-N83*O42/((1+O23/100)*(1+O41/100))),0))</f>
        <v>1.4198952669702605</v>
      </c>
      <c r="P87" s="34">
        <f>IF(P83=0,0,IF(P79=1,'Input data'!$C$58*(P83-O83*P42/((1+P23/100)*(1+P41/100))),0))</f>
        <v>1.4699880273656114</v>
      </c>
      <c r="Q87" s="34">
        <f>IF(Q83=0,0,IF(Q79=1,'Input data'!$C$58*(Q83-P83*Q42/((1+Q23/100)*(1+Q41/100))),0))</f>
        <v>1.5562008345459415</v>
      </c>
      <c r="R87" s="34">
        <f>IF(R83=0,0,IF(R79=1,'Input data'!$C$58*(R83-Q83*R42/((1+R23/100)*(1+R41/100))),0))</f>
        <v>1.6740318404013328</v>
      </c>
      <c r="S87" s="34">
        <f>IF(S83=0,0,IF(S79=1,'Input data'!$C$58*(S83-R83*S42/((1+S23/100)*(1+S41/100))),0))</f>
        <v>1.8044636282885396</v>
      </c>
      <c r="T87" s="34">
        <f>IF(T83=0,0,IF(T79=1,'Input data'!$C$58*(T83-S83*T42/((1+T23/100)*(1+T41/100))),0))</f>
        <v>1.9498012624246974</v>
      </c>
      <c r="U87" s="34">
        <f>IF(U83=0,0,IF(U79=1,'Input data'!$C$58*(U83-T83*U42/((1+U23/100)*(1+U41/100))),0))</f>
        <v>2.1170472101717959</v>
      </c>
      <c r="V87" s="34">
        <f>IF(V83=0,0,IF(V79=1,'Input data'!$C$58*(V83-U83*V42/((1+V23/100)*(1+V41/100))),0))</f>
        <v>2.3072093887718514</v>
      </c>
      <c r="W87" s="34">
        <f>IF(W83=0,0,IF(W79=1,'Input data'!$C$58*(W83-V83*W42/((1+W23/100)*(1+W41/100))),0))</f>
        <v>2.5297895577275291</v>
      </c>
    </row>
    <row r="88" spans="2:23" x14ac:dyDescent="0.2">
      <c r="B88" s="107" t="s">
        <v>131</v>
      </c>
      <c r="C88" s="49"/>
      <c r="D88" s="255">
        <f>'Input data'!C70*$D$83</f>
        <v>0.38030214097798132</v>
      </c>
      <c r="E88" s="49">
        <f>IF(E83=0,0,IF(E79=1,'Input data'!$C$57*(E83-D83*E42/((1+E23/100)*(1+E41/100))),0))</f>
        <v>0.58951668669685331</v>
      </c>
      <c r="F88" s="49">
        <f>IF(F83=0,0,IF(F79=1,'Input data'!$C$57*(F83-E83*F42/((1+F23/100)*(1+F41/100))),0))</f>
        <v>0.34559284865354467</v>
      </c>
      <c r="G88" s="49">
        <f>IF(G83=0,0,IF(G79=1,'Input data'!$C$57*(G83-F83*G42/((1+G23/100)*(1+G41/100))),0))</f>
        <v>0.26397931032041894</v>
      </c>
      <c r="H88" s="49">
        <f>IF(H83=0,0,IF(H79=1,'Input data'!$C$57*(H83-G83*H42/((1+H23/100)*(1+H41/100))),0))</f>
        <v>0.21902327805137731</v>
      </c>
      <c r="I88" s="49">
        <f>IF(I83=0,0,IF(I79=1,'Input data'!$C$57*(I83-H83*I42/((1+I23/100)*(1+I41/100))),0))</f>
        <v>0.18150499675613799</v>
      </c>
      <c r="J88" s="49">
        <f>IF(J83=0,0,IF(J79=1,'Input data'!$C$57*(J83-I83*J42/((1+J23/100)*(1+J41/100))),0))</f>
        <v>0.14011556444278611</v>
      </c>
      <c r="K88" s="49">
        <f>IF(K83=0,0,IF(K79=1,'Input data'!$C$57*(K83-J83*K42/((1+K23/100)*(1+K41/100))),0))</f>
        <v>0.12968230449600102</v>
      </c>
      <c r="L88" s="49">
        <f>IF(L83=0,0,IF(L79=1,'Input data'!$C$57*(L83-K83*L42/((1+L23/100)*(1+L41/100))),0))</f>
        <v>0.11089724642022128</v>
      </c>
      <c r="M88" s="49">
        <f>IF(M83=0,0,IF(M79=1,'Input data'!$C$57*(M83-L83*M42/((1+M23/100)*(1+M41/100))),0))</f>
        <v>9.6140840511652309E-2</v>
      </c>
      <c r="N88" s="49">
        <f>IF(N83=0,0,IF(N79=1,'Input data'!$C$57*(N83-M83*N42/((1+N23/100)*(1+N41/100))),0))</f>
        <v>9.5999972743273404E-2</v>
      </c>
      <c r="O88" s="49">
        <f>IF(O83=0,0,IF(O79=1,'Input data'!$C$57*(O83-N83*O42/((1+O23/100)*(1+O41/100))),0))</f>
        <v>9.7941125317899641E-2</v>
      </c>
      <c r="P88" s="49">
        <f>IF(P83=0,0,IF(P79=1,'Input data'!$C$57*(P83-O83*P42/((1+P23/100)*(1+P41/100))),0))</f>
        <v>0.10139640926561587</v>
      </c>
      <c r="Q88" s="49">
        <f>IF(Q83=0,0,IF(Q79=1,'Input data'!$C$57*(Q83-P83*Q42/((1+Q23/100)*(1+Q41/100))),0))</f>
        <v>0.10734317136031161</v>
      </c>
      <c r="R88" s="49">
        <f>IF(R83=0,0,IF(R79=1,'Input data'!$C$57*(R83-Q83*R42/((1+R23/100)*(1+R41/100))),0))</f>
        <v>0.11547088442427715</v>
      </c>
      <c r="S88" s="49">
        <f>IF(S83=0,0,IF(S79=1,'Input data'!$C$57*(S83-R83*S42/((1+S23/100)*(1+S41/100))),0))</f>
        <v>0.1244677705890975</v>
      </c>
      <c r="T88" s="49">
        <f>IF(T83=0,0,IF(T79=1,'Input data'!$C$57*(T83-S83*T42/((1+T23/100)*(1+T41/100))),0))</f>
        <v>0.13449282790808539</v>
      </c>
      <c r="U88" s="49">
        <f>IF(U83=0,0,IF(U79=1,'Input data'!$C$57*(U83-T83*U42/((1+U23/100)*(1+U41/100))),0))</f>
        <v>0.1460290705509398</v>
      </c>
      <c r="V88" s="49">
        <f>IF(V83=0,0,IF(V79=1,'Input data'!$C$57*(V83-U83*V42/((1+V23/100)*(1+V41/100))),0))</f>
        <v>0.15914602234185168</v>
      </c>
      <c r="W88" s="49">
        <f>IF(W83=0,0,IF(W79=1,'Input data'!$C$57*(W83-V83*W42/((1+W23/100)*(1+W41/100))),0))</f>
        <v>0.17449909290140297</v>
      </c>
    </row>
    <row r="89" spans="2:23" x14ac:dyDescent="0.2">
      <c r="B89" s="26" t="s">
        <v>73</v>
      </c>
      <c r="C89" s="36"/>
      <c r="D89" s="260">
        <f>'Baseline NFPC'!$D$93</f>
        <v>5.8746799929838001E-2</v>
      </c>
      <c r="E89" s="36">
        <f t="shared" ref="E89:G89" si="53">IF(E83&lt;&gt;0,(E86+E88)/(E84+E85+E86+E87+E88),0)</f>
        <v>5.9465050877674841E-2</v>
      </c>
      <c r="F89" s="36">
        <f t="shared" si="53"/>
        <v>5.9829978531755049E-2</v>
      </c>
      <c r="G89" s="36">
        <f t="shared" si="53"/>
        <v>6.009014929235542E-2</v>
      </c>
      <c r="H89" s="36">
        <f t="shared" ref="H89" si="54">IF(H83&lt;&gt;0,(H86+H88)/(H84+H85+H86+H87+H88),0)</f>
        <v>6.0296032148354238E-2</v>
      </c>
      <c r="I89" s="36">
        <f t="shared" ref="I89:W89" si="55">IF(I83&lt;&gt;0,(I86+I88)/(I84+I85+I86+I87+I88),0)</f>
        <v>6.0461327682602053E-2</v>
      </c>
      <c r="J89" s="36">
        <f t="shared" si="55"/>
        <v>6.05868103430343E-2</v>
      </c>
      <c r="K89" s="36">
        <f t="shared" si="55"/>
        <v>6.0702706244124188E-2</v>
      </c>
      <c r="L89" s="36">
        <f t="shared" si="55"/>
        <v>6.0802037944250258E-2</v>
      </c>
      <c r="M89" s="36">
        <f t="shared" si="55"/>
        <v>6.0888797045820335E-2</v>
      </c>
      <c r="N89" s="36">
        <f t="shared" si="55"/>
        <v>6.0975720256567896E-2</v>
      </c>
      <c r="O89" s="36">
        <f t="shared" si="55"/>
        <v>6.1064468050891128E-2</v>
      </c>
      <c r="P89" s="36">
        <f t="shared" si="55"/>
        <v>6.1156129561814994E-2</v>
      </c>
      <c r="Q89" s="36">
        <f t="shared" si="55"/>
        <v>6.1252533356471447E-2</v>
      </c>
      <c r="R89" s="36">
        <f t="shared" si="55"/>
        <v>6.1355000668949833E-2</v>
      </c>
      <c r="S89" s="36">
        <f t="shared" si="55"/>
        <v>6.1463486711533954E-2</v>
      </c>
      <c r="T89" s="36">
        <f t="shared" si="55"/>
        <v>6.1577836205615598E-2</v>
      </c>
      <c r="U89" s="36">
        <f t="shared" si="55"/>
        <v>6.169804998793265E-2</v>
      </c>
      <c r="V89" s="36">
        <f t="shared" si="55"/>
        <v>6.1823901185480583E-2</v>
      </c>
      <c r="W89" s="36">
        <f t="shared" si="55"/>
        <v>6.19553351145955E-2</v>
      </c>
    </row>
    <row r="90" spans="2:23" x14ac:dyDescent="0.2">
      <c r="B90" s="35" t="s">
        <v>74</v>
      </c>
      <c r="C90" s="108"/>
      <c r="D90" s="261">
        <f>'Baseline NFPC'!$D$94</f>
        <v>0.941253200070162</v>
      </c>
      <c r="E90" s="108">
        <f t="shared" ref="E90:G90" si="56">IF(E83&lt;&gt;0,(E84+E85+E87)/(E84+E85+E86+E87+E88),1)</f>
        <v>0.94053494912232516</v>
      </c>
      <c r="F90" s="108">
        <f t="shared" si="56"/>
        <v>0.94017002146824513</v>
      </c>
      <c r="G90" s="108">
        <f t="shared" si="56"/>
        <v>0.93990985070764443</v>
      </c>
      <c r="H90" s="108">
        <f t="shared" ref="H90" si="57">IF(H83&lt;&gt;0,(H84+H85+H87)/(H84+H85+H86+H87+H88),1)</f>
        <v>0.93970396785164567</v>
      </c>
      <c r="I90" s="108">
        <f t="shared" ref="I90:W90" si="58">IF(I83&lt;&gt;0,(I84+I85+I87)/(I84+I85+I86+I87+I88),1)</f>
        <v>0.93953867231739796</v>
      </c>
      <c r="J90" s="108">
        <f t="shared" si="58"/>
        <v>0.93941318965696574</v>
      </c>
      <c r="K90" s="108">
        <f t="shared" si="58"/>
        <v>0.93929729375587578</v>
      </c>
      <c r="L90" s="108">
        <f t="shared" si="58"/>
        <v>0.93919796205574968</v>
      </c>
      <c r="M90" s="108">
        <f t="shared" si="58"/>
        <v>0.9391112029541796</v>
      </c>
      <c r="N90" s="108">
        <f t="shared" si="58"/>
        <v>0.93902427974343206</v>
      </c>
      <c r="O90" s="108">
        <f t="shared" si="58"/>
        <v>0.93893553194910873</v>
      </c>
      <c r="P90" s="108">
        <f t="shared" si="58"/>
        <v>0.93884387043818507</v>
      </c>
      <c r="Q90" s="108">
        <f t="shared" si="58"/>
        <v>0.93874746664352859</v>
      </c>
      <c r="R90" s="108">
        <f t="shared" si="58"/>
        <v>0.93864499933105028</v>
      </c>
      <c r="S90" s="108">
        <f t="shared" si="58"/>
        <v>0.93853651328846599</v>
      </c>
      <c r="T90" s="108">
        <f t="shared" si="58"/>
        <v>0.93842216379438448</v>
      </c>
      <c r="U90" s="108">
        <f t="shared" si="58"/>
        <v>0.93830195001206729</v>
      </c>
      <c r="V90" s="108">
        <f t="shared" si="58"/>
        <v>0.93817609881451947</v>
      </c>
      <c r="W90" s="108">
        <f t="shared" si="58"/>
        <v>0.9380446648854045</v>
      </c>
    </row>
    <row r="92" spans="2:23" x14ac:dyDescent="0.2">
      <c r="B92" s="113" t="s">
        <v>132</v>
      </c>
      <c r="C92" s="113"/>
      <c r="D92" s="113"/>
      <c r="E92" s="115">
        <f t="shared" ref="E92:G92" si="59">E94+E95</f>
        <v>7.2293640000000012</v>
      </c>
      <c r="F92" s="115">
        <f t="shared" si="59"/>
        <v>7.2143069999999998</v>
      </c>
      <c r="G92" s="115">
        <f t="shared" si="59"/>
        <v>5.9857409999999991</v>
      </c>
      <c r="H92" s="115">
        <f t="shared" ref="H92:W92" si="60">H94+H95</f>
        <v>6.1006442626004187</v>
      </c>
      <c r="I92" s="115">
        <f t="shared" si="60"/>
        <v>6.1883468017334327</v>
      </c>
      <c r="J92" s="115">
        <f>J94+J95</f>
        <v>6.2553067442008849</v>
      </c>
      <c r="K92" s="115">
        <f t="shared" si="60"/>
        <v>6.4601233217389762</v>
      </c>
      <c r="L92" s="115">
        <f t="shared" si="60"/>
        <v>6.4281565185201597</v>
      </c>
      <c r="M92" s="115">
        <f t="shared" si="60"/>
        <v>6.4470587787454976</v>
      </c>
      <c r="N92" s="115">
        <f t="shared" si="60"/>
        <v>6.457646065000028</v>
      </c>
      <c r="O92" s="115">
        <f t="shared" si="60"/>
        <v>6.4610882976464046</v>
      </c>
      <c r="P92" s="115">
        <f t="shared" si="60"/>
        <v>6.4470967938933637</v>
      </c>
      <c r="Q92" s="115">
        <f t="shared" si="60"/>
        <v>6.425968715329593</v>
      </c>
      <c r="R92" s="115">
        <f t="shared" si="60"/>
        <v>6.3981591816633854</v>
      </c>
      <c r="S92" s="115">
        <f t="shared" si="60"/>
        <v>6.3640204210817979</v>
      </c>
      <c r="T92" s="115">
        <f t="shared" si="60"/>
        <v>6.3239137242249726</v>
      </c>
      <c r="U92" s="115">
        <f t="shared" si="60"/>
        <v>6.2781806895439844</v>
      </c>
      <c r="V92" s="115">
        <f t="shared" si="60"/>
        <v>6.2271192007423579</v>
      </c>
      <c r="W92" s="115">
        <f t="shared" si="60"/>
        <v>6.1710201148108634</v>
      </c>
    </row>
    <row r="93" spans="2:23" x14ac:dyDescent="0.2">
      <c r="B93" s="33" t="s">
        <v>133</v>
      </c>
      <c r="C93" s="97"/>
      <c r="D93" s="97"/>
      <c r="E93" s="266">
        <f>((E35*D83)-(E37*(D86+D88)))/(D84+D85+D87)</f>
        <v>6.6838324052938667</v>
      </c>
      <c r="F93" s="266">
        <f t="shared" ref="F93:G93" si="61">((F35*E83)-(F37*(E86+E88)))/(E84+E85+E87)</f>
        <v>7.2001830420087387</v>
      </c>
      <c r="G93" s="266">
        <f t="shared" si="61"/>
        <v>5.9561921810339973</v>
      </c>
      <c r="H93" s="34">
        <f t="shared" ref="H93:W93" si="62">IF(G83&gt;0,(G93*G84+H36*(G87+G85))/(G84+G85+G87),H36)</f>
        <v>6.0800000387567961</v>
      </c>
      <c r="I93" s="34">
        <f t="shared" si="62"/>
        <v>6.1749562434446572</v>
      </c>
      <c r="J93" s="34">
        <f t="shared" si="62"/>
        <v>6.2478926046440657</v>
      </c>
      <c r="K93" s="34">
        <f t="shared" si="62"/>
        <v>6.4031182361718928</v>
      </c>
      <c r="L93" s="34">
        <f t="shared" si="62"/>
        <v>6.4353088513893342</v>
      </c>
      <c r="M93" s="34">
        <f t="shared" si="62"/>
        <v>6.4571639853585454</v>
      </c>
      <c r="N93" s="34">
        <f t="shared" si="62"/>
        <v>6.4701723909075737</v>
      </c>
      <c r="O93" s="34">
        <f t="shared" si="62"/>
        <v>6.475579124160431</v>
      </c>
      <c r="P93" s="34">
        <f t="shared" si="62"/>
        <v>6.4728551058680699</v>
      </c>
      <c r="Q93" s="34">
        <f t="shared" si="62"/>
        <v>6.4625663374225999</v>
      </c>
      <c r="R93" s="34">
        <f t="shared" si="62"/>
        <v>6.4451985582422386</v>
      </c>
      <c r="S93" s="34">
        <f t="shared" si="62"/>
        <v>6.4211287180823913</v>
      </c>
      <c r="T93" s="34">
        <f t="shared" si="62"/>
        <v>6.3907426768806941</v>
      </c>
      <c r="U93" s="34">
        <f t="shared" si="62"/>
        <v>6.3544050643659675</v>
      </c>
      <c r="V93" s="34">
        <f t="shared" si="62"/>
        <v>6.3124339994198531</v>
      </c>
      <c r="W93" s="34">
        <f t="shared" si="62"/>
        <v>6.2651396899786906</v>
      </c>
    </row>
    <row r="94" spans="2:23" x14ac:dyDescent="0.2">
      <c r="B94" s="26" t="s">
        <v>134</v>
      </c>
      <c r="C94" s="97"/>
      <c r="D94" s="97"/>
      <c r="E94" s="34">
        <f t="shared" ref="E94" si="63">(E93*(D84+D85+D87)+E37*(D86+D88))/D83</f>
        <v>7.2293640000000012</v>
      </c>
      <c r="F94" s="34">
        <f t="shared" ref="F94" si="64">(F93*(E84+E85+E87)+F37*(E86+E88))/E83</f>
        <v>7.2143069999999998</v>
      </c>
      <c r="G94" s="34">
        <f t="shared" ref="G94" si="65">(G93*(F84+F85+F87)+G37*(F86+F88))/F83</f>
        <v>5.9857409999999991</v>
      </c>
      <c r="H94" s="34">
        <f t="shared" ref="H94:W94" si="66">(H93*(G84+G85+G87)+H37*(G86+G88))/G83</f>
        <v>6.1006442626004187</v>
      </c>
      <c r="I94" s="34">
        <f t="shared" si="66"/>
        <v>6.1883468017334327</v>
      </c>
      <c r="J94" s="34">
        <f>(J93*(I84+I85+I87)+J37*(I86+I88))/I83</f>
        <v>6.2553067442008849</v>
      </c>
      <c r="K94" s="34">
        <f>(K93*(J84+J85+J87)+K37*(J86+J88))/J83</f>
        <v>6.4601233217389762</v>
      </c>
      <c r="L94" s="34">
        <f t="shared" si="66"/>
        <v>6.4281565185201597</v>
      </c>
      <c r="M94" s="34">
        <f t="shared" si="66"/>
        <v>6.4470587787454976</v>
      </c>
      <c r="N94" s="34">
        <f t="shared" si="66"/>
        <v>6.457646065000028</v>
      </c>
      <c r="O94" s="34">
        <f t="shared" si="66"/>
        <v>6.4610882976464046</v>
      </c>
      <c r="P94" s="34">
        <f t="shared" si="66"/>
        <v>6.4470967938933637</v>
      </c>
      <c r="Q94" s="34">
        <f t="shared" si="66"/>
        <v>6.425968715329593</v>
      </c>
      <c r="R94" s="34">
        <f t="shared" si="66"/>
        <v>6.3981591816633854</v>
      </c>
      <c r="S94" s="34">
        <f t="shared" si="66"/>
        <v>6.3640204210817979</v>
      </c>
      <c r="T94" s="34">
        <f t="shared" si="66"/>
        <v>6.3239137242249726</v>
      </c>
      <c r="U94" s="97">
        <f t="shared" si="66"/>
        <v>6.2781806895439844</v>
      </c>
      <c r="V94" s="97">
        <f t="shared" si="66"/>
        <v>6.2271192007423579</v>
      </c>
      <c r="W94" s="97">
        <f t="shared" si="66"/>
        <v>6.1710201148108634</v>
      </c>
    </row>
    <row r="95" spans="2:23" x14ac:dyDescent="0.2">
      <c r="B95" s="35" t="s">
        <v>135</v>
      </c>
      <c r="C95" s="35"/>
      <c r="D95" s="35"/>
      <c r="E95" s="49">
        <f>IF('Criteria results'!$F$5=4,E104,E109)</f>
        <v>0</v>
      </c>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3" t="s">
        <v>186</v>
      </c>
      <c r="C97" s="115">
        <f t="shared" ref="C97:T97" si="67">((1+C92/100)/((1+C23/100)*(1+C41/100))-1)*100</f>
        <v>-12.246183299015833</v>
      </c>
      <c r="D97" s="115">
        <f t="shared" si="67"/>
        <v>-16.294896291207174</v>
      </c>
      <c r="E97" s="115">
        <f>((1+E92/100)/((1+E23/100)*(1+E41/100))-1)*100</f>
        <v>-5.6971512852683421</v>
      </c>
      <c r="F97" s="115">
        <f t="shared" si="67"/>
        <v>-0.58471536016967418</v>
      </c>
      <c r="G97" s="115">
        <f t="shared" si="67"/>
        <v>-0.65999390843156647</v>
      </c>
      <c r="H97" s="115">
        <f t="shared" si="67"/>
        <v>0.20556737539796366</v>
      </c>
      <c r="I97" s="115">
        <f t="shared" si="67"/>
        <v>0.43613775263522392</v>
      </c>
      <c r="J97" s="115">
        <f t="shared" si="67"/>
        <v>0.62403149355139131</v>
      </c>
      <c r="K97" s="115">
        <f t="shared" si="67"/>
        <v>0.34932794505864173</v>
      </c>
      <c r="L97" s="115">
        <f t="shared" si="67"/>
        <v>0.38763972141213632</v>
      </c>
      <c r="M97" s="115">
        <f t="shared" si="67"/>
        <v>0.51437038577255567</v>
      </c>
      <c r="N97" s="115">
        <f t="shared" si="67"/>
        <v>1.1535737294047665</v>
      </c>
      <c r="O97" s="115">
        <f t="shared" si="67"/>
        <v>1.243867975031554</v>
      </c>
      <c r="P97" s="115">
        <f t="shared" si="67"/>
        <v>1.2786096605772013</v>
      </c>
      <c r="Q97" s="115">
        <f t="shared" si="67"/>
        <v>1.3065863501195762</v>
      </c>
      <c r="R97" s="115">
        <f t="shared" si="67"/>
        <v>1.3282118742010685</v>
      </c>
      <c r="S97" s="115">
        <f t="shared" si="67"/>
        <v>1.3136619187675835</v>
      </c>
      <c r="T97" s="115">
        <f t="shared" si="67"/>
        <v>1.3389793563858721</v>
      </c>
      <c r="U97" s="115">
        <f>((1+U92/100)/((1+U23/100)*(1+U41/100))-1)*100</f>
        <v>1.3601971967435178</v>
      </c>
      <c r="V97" s="115">
        <f t="shared" ref="V97:W97" si="68">((1+V92/100)/((1+V23/100)*(1+V41/100))-1)*100</f>
        <v>1.3559217976765181</v>
      </c>
      <c r="W97" s="115">
        <f t="shared" si="68"/>
        <v>1.3302855053594742</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293</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76.688644409179688</v>
      </c>
      <c r="D102" s="34">
        <v>74.056968688964844</v>
      </c>
      <c r="E102" s="34">
        <v>73.520370483398438</v>
      </c>
      <c r="F102" s="34">
        <v>74.287979125976563</v>
      </c>
      <c r="G102" s="34">
        <v>73.85491943359375</v>
      </c>
      <c r="H102" s="34">
        <v>73.145805358886719</v>
      </c>
      <c r="I102" s="34">
        <v>71.996414184570313</v>
      </c>
      <c r="J102" s="34">
        <v>70.352256774902344</v>
      </c>
      <c r="K102" s="34">
        <v>68.323844909667969</v>
      </c>
      <c r="L102" s="34">
        <v>66.164680480957031</v>
      </c>
      <c r="M102" s="34">
        <v>63.967060089111328</v>
      </c>
      <c r="N102" s="34">
        <v>62.267810821533203</v>
      </c>
      <c r="O102" s="34">
        <v>60.734233856201172</v>
      </c>
      <c r="P102" s="34">
        <v>59.356758117675781</v>
      </c>
      <c r="Q102" s="34">
        <v>58.165142059326172</v>
      </c>
      <c r="R102" s="34">
        <v>57.183086395263672</v>
      </c>
      <c r="S102" s="34">
        <v>56.396915435791016</v>
      </c>
      <c r="T102" s="34">
        <v>55.837139129638672</v>
      </c>
      <c r="U102" s="34">
        <v>55.516441345214844</v>
      </c>
      <c r="V102" s="34">
        <v>55.437088012695313</v>
      </c>
      <c r="W102" s="34">
        <v>55.613849639892578</v>
      </c>
      <c r="X102" s="34"/>
      <c r="Y102" s="34"/>
      <c r="Z102" s="34"/>
    </row>
    <row r="103" spans="1:54" s="5" customFormat="1" ht="12.75" x14ac:dyDescent="0.2">
      <c r="A103" s="26"/>
      <c r="B103" s="26" t="s">
        <v>132</v>
      </c>
      <c r="C103" s="1">
        <v>3.2392632961273193</v>
      </c>
      <c r="D103" s="1">
        <v>4.4184198379516602</v>
      </c>
      <c r="E103" s="1">
        <v>7.2293639183044434</v>
      </c>
      <c r="F103" s="1">
        <v>7.2143068313598633</v>
      </c>
      <c r="G103" s="1">
        <v>5.9857401847839355</v>
      </c>
      <c r="H103" s="1">
        <v>6.100651741027832</v>
      </c>
      <c r="I103" s="1">
        <v>6.1883535385131836</v>
      </c>
      <c r="J103" s="1">
        <v>6.2553129196166992</v>
      </c>
      <c r="K103" s="1">
        <v>6.4601287841796875</v>
      </c>
      <c r="L103" s="1">
        <v>6.42816162109375</v>
      </c>
      <c r="M103" s="1">
        <v>6.4470639228820801</v>
      </c>
      <c r="N103" s="1">
        <v>6.4576506614685059</v>
      </c>
      <c r="O103" s="1">
        <v>6.4610929489135742</v>
      </c>
      <c r="P103" s="1">
        <v>6.4471006393432617</v>
      </c>
      <c r="Q103" s="1">
        <v>6.4259724617004395</v>
      </c>
      <c r="R103" s="1">
        <v>6.3981618881225586</v>
      </c>
      <c r="S103" s="1">
        <v>6.3640227317810059</v>
      </c>
      <c r="T103" s="1">
        <v>6.323915958404541</v>
      </c>
      <c r="U103" s="99">
        <v>6.2781825065612793</v>
      </c>
      <c r="V103" s="99">
        <v>6.2271208763122559</v>
      </c>
      <c r="W103" s="99">
        <v>6.1710214614868164</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185</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294</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76.688644409179688</v>
      </c>
      <c r="D107" s="34">
        <v>74.056968688964844</v>
      </c>
      <c r="E107" s="34">
        <v>73.520370483398438</v>
      </c>
      <c r="F107" s="34">
        <v>74.287979125976563</v>
      </c>
      <c r="G107" s="34">
        <v>73.887054443359375</v>
      </c>
      <c r="H107" s="34">
        <v>73.4412841796875</v>
      </c>
      <c r="I107" s="34">
        <v>72.793144226074219</v>
      </c>
      <c r="J107" s="34">
        <v>71.892997741699219</v>
      </c>
      <c r="K107" s="34">
        <v>70.637893676757813</v>
      </c>
      <c r="L107" s="34">
        <v>69.028900146484375</v>
      </c>
      <c r="M107" s="34">
        <v>67.080314636230469</v>
      </c>
      <c r="N107" s="34">
        <v>65.108413696289063</v>
      </c>
      <c r="O107" s="34">
        <v>63.130199432373047</v>
      </c>
      <c r="P107" s="34">
        <v>61.171237945556641</v>
      </c>
      <c r="Q107" s="34">
        <v>59.581718444824219</v>
      </c>
      <c r="R107" s="34">
        <v>58.195472717285156</v>
      </c>
      <c r="S107" s="34">
        <v>56.998577117919922</v>
      </c>
      <c r="T107" s="34">
        <v>56.022151947021484</v>
      </c>
      <c r="U107" s="34">
        <v>55.278850555419922</v>
      </c>
      <c r="V107" s="34">
        <v>54.770954132080078</v>
      </c>
      <c r="W107" s="34">
        <v>54.513504028320313</v>
      </c>
      <c r="X107" s="34"/>
      <c r="Y107" s="34"/>
      <c r="Z107" s="34"/>
    </row>
    <row r="108" spans="1:54" x14ac:dyDescent="0.2">
      <c r="B108" s="26" t="s">
        <v>132</v>
      </c>
      <c r="C108" s="1">
        <v>3.2392632961273193</v>
      </c>
      <c r="D108" s="1">
        <v>4.4184198379516602</v>
      </c>
      <c r="E108" s="1">
        <v>7.2293639183044434</v>
      </c>
      <c r="F108" s="1">
        <v>7.2143068313598633</v>
      </c>
      <c r="G108" s="1">
        <v>5.9857401847839355</v>
      </c>
      <c r="H108" s="1">
        <v>6.1025090217590332</v>
      </c>
      <c r="I108" s="1">
        <v>6.1933231353759766</v>
      </c>
      <c r="J108" s="1">
        <v>6.2641096115112305</v>
      </c>
      <c r="K108" s="1">
        <v>6.3178462982177734</v>
      </c>
      <c r="L108" s="1">
        <v>6.3571186065673828</v>
      </c>
      <c r="M108" s="1">
        <v>6.384178638458252</v>
      </c>
      <c r="N108" s="1">
        <v>6.5539193153381348</v>
      </c>
      <c r="O108" s="1">
        <v>6.4928426742553711</v>
      </c>
      <c r="P108" s="1">
        <v>6.475766658782959</v>
      </c>
      <c r="Q108" s="1">
        <v>6.452301025390625</v>
      </c>
      <c r="R108" s="1">
        <v>6.4227242469787598</v>
      </c>
      <c r="S108" s="1">
        <v>6.387333869934082</v>
      </c>
      <c r="T108" s="1">
        <v>6.3464360237121582</v>
      </c>
      <c r="U108" s="1">
        <v>6.3003029823303223</v>
      </c>
      <c r="V108" s="1">
        <v>6.2491512298583984</v>
      </c>
      <c r="W108" s="1">
        <v>6.193181037902832</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185</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HU</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-4.8520380000000003</v>
      </c>
      <c r="D12" s="2">
        <f>'Adjustment scenario'!D12</f>
        <v>-4.121645</v>
      </c>
      <c r="E12" s="2">
        <f>'Adjustment scenario'!E12</f>
        <v>-1.336916</v>
      </c>
      <c r="F12" s="2">
        <f>'Adjust. no safeguard'!F12</f>
        <v>3.4885699999999999E-2</v>
      </c>
      <c r="G12" s="3">
        <f>'Adjust. no safeguard'!G12</f>
        <v>0.69488570000000005</v>
      </c>
      <c r="H12" s="3">
        <f>'Adjust. no safeguard'!H12</f>
        <v>1.3548857000000001</v>
      </c>
      <c r="I12" s="3">
        <f>'Adjust. no safeguard'!I12</f>
        <v>2.0148857000000002</v>
      </c>
      <c r="J12" s="3">
        <f>'Adjust. no safeguard'!J12</f>
        <v>2.6748857000000004</v>
      </c>
      <c r="K12" s="3">
        <f>IF(AND('Criteria results'!$F$5=4,'Criteria results'!$F$5=4),'Adjust. no safeguard'!K12-0.25,IF(AND('Criteria results'!$F$5=4,'Criteria results'!$F$5=7),'Adjust. no safeguard'!K12-0.5/3,IF(AND('Criteria results'!$F$5=7,'Criteria results'!$F$5=7),'Adjust. no safeguard'!K12,'Adjust. no safeguard'!K12)))</f>
        <v>2.4248857000000004</v>
      </c>
      <c r="L12" s="3">
        <f>IF(AND('Criteria results'!$F$5=4,'Criteria results'!$F$5=4),'Adjust. no safeguard'!L12-0.5,IF(AND('Criteria results'!$F$5=4,'Criteria results'!$F$5=7),'Adjust. no safeguard'!L12-0.5*2/3,IF(AND('Criteria results'!$F$5=7,'Criteria results'!$F$5=7),'Adjust. no safeguard'!L12,'Adjust. no safeguard'!L12)))</f>
        <v>2.1748857000000004</v>
      </c>
      <c r="M12" s="3">
        <f>IF('Criteria results'!$F$5=4,'Adjust. no safeguard'!M12-0.5,'Adjust. no safeguard'!M12)</f>
        <v>2.1748857000000004</v>
      </c>
      <c r="N12" s="3">
        <f>IF('Criteria results'!$F$5=4,'Adjust. no safeguard'!N12-0.5,IF(AND('Criteria results'!$F$5=7,'Criteria results'!$F$5=7),'Adjust. no safeguard'!N12-0.25,'Adjust. no safeguard'!N12-1/3*0.5))</f>
        <v>2.1748857000000004</v>
      </c>
      <c r="O12" s="3">
        <f>IF('Criteria results'!$F$5=4,'Adjust. no safeguard'!N12-0.5,IF(AND('Criteria results'!$F$5=7,'Criteria results'!$F$5=7),'Adjust. no safeguard'!O12-0.5,'Adjust. no safeguard'!O12-2/3*0.5))</f>
        <v>2.1748857000000004</v>
      </c>
      <c r="P12" s="3">
        <f>'Adjust. no safeguard'!P12-0.5</f>
        <v>2.1748857000000004</v>
      </c>
      <c r="Q12" s="3">
        <f>'Adjust. no safeguard'!Q12-0.5</f>
        <v>2.1748857000000004</v>
      </c>
      <c r="R12" s="3">
        <f>'Adjust. no safeguard'!R12-0.5</f>
        <v>2.1748857000000004</v>
      </c>
      <c r="S12" s="3">
        <f>'Adjust. no safeguard'!S12-0.5</f>
        <v>2.1748857000000004</v>
      </c>
      <c r="T12" s="3">
        <f>'Adjust. no safeguard'!T12-0.5</f>
        <v>2.1748857000000004</v>
      </c>
      <c r="U12" s="3">
        <f>'Adjust. no safeguard'!U12-0.5</f>
        <v>2.1748857000000004</v>
      </c>
      <c r="V12" s="3">
        <f>'Adjust. no safeguard'!V12-0.5</f>
        <v>2.1748857000000004</v>
      </c>
      <c r="W12" s="3">
        <f>'Adjust. no safeguard'!W12-0.5</f>
        <v>2.1748857000000004</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-0.1086859</v>
      </c>
      <c r="D13" s="2">
        <f>'Input data'!D14</f>
        <v>0</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-0.1919507</v>
      </c>
      <c r="D14" s="2">
        <f>'Input data'!D15</f>
        <v>9.56404E-2</v>
      </c>
      <c r="E14" s="2">
        <f>'Input data'!E15</f>
        <v>2.4978720000000001</v>
      </c>
      <c r="F14" s="2">
        <f>'Input data'!F15</f>
        <v>-0.13437760000000001</v>
      </c>
      <c r="G14" s="2">
        <f>'Input data'!G15</f>
        <v>0.1957401</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16.0166</v>
      </c>
      <c r="E17" s="101">
        <f>'Input data'!E20</f>
        <v>16.121750000000002</v>
      </c>
      <c r="F17" s="101">
        <f>'Input data'!F20</f>
        <v>16.128519999999998</v>
      </c>
      <c r="G17" s="101">
        <f>'Input data'!G20</f>
        <v>16.013810000000003</v>
      </c>
      <c r="H17" s="101">
        <f>'Input data'!H20</f>
        <v>15.929929999999999</v>
      </c>
      <c r="I17" s="101">
        <f>'Input data'!I20</f>
        <v>15.87402</v>
      </c>
      <c r="J17" s="101">
        <f>'Input data'!J20</f>
        <v>15.87527</v>
      </c>
      <c r="K17" s="101">
        <f>'Input data'!K20</f>
        <v>15.887590000000001</v>
      </c>
      <c r="L17" s="101">
        <f>'Input data'!L20</f>
        <v>15.930810000000001</v>
      </c>
      <c r="M17" s="101">
        <f>'Input data'!M20</f>
        <v>16.00994</v>
      </c>
      <c r="N17" s="101">
        <f>'Input data'!N20</f>
        <v>16.10998</v>
      </c>
      <c r="O17" s="101">
        <f>'Input data'!O20</f>
        <v>16.238250000000001</v>
      </c>
      <c r="P17" s="101">
        <f>'Input data'!P20</f>
        <v>16.391590000000001</v>
      </c>
      <c r="Q17" s="101">
        <f>'Input data'!Q20</f>
        <v>16.5777</v>
      </c>
      <c r="R17" s="101">
        <f>'Input data'!R20</f>
        <v>16.78951</v>
      </c>
      <c r="S17" s="101">
        <f>'Input data'!S20</f>
        <v>17.006</v>
      </c>
      <c r="T17" s="101">
        <f>'Input data'!T20</f>
        <v>17.227679999999999</v>
      </c>
      <c r="U17" s="101">
        <f>'Input data'!U20</f>
        <v>17.461649999999999</v>
      </c>
      <c r="V17" s="101">
        <f>'Input data'!V20</f>
        <v>17.708970000000001</v>
      </c>
      <c r="W17" s="101">
        <f>'Input data'!W20</f>
        <v>17.97964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0.53881259999999997</v>
      </c>
      <c r="D18" s="101">
        <f>'Input data'!D26</f>
        <v>1.182669</v>
      </c>
      <c r="E18" s="101">
        <f>'Input data'!E26</f>
        <v>1.1819139999999999</v>
      </c>
      <c r="F18" s="101">
        <f>'Input data'!F26</f>
        <v>1.18116</v>
      </c>
      <c r="G18" s="101">
        <f>'Input data'!G26</f>
        <v>1.1804049999999999</v>
      </c>
      <c r="H18" s="101">
        <f>'Input data'!H26</f>
        <v>1.179651</v>
      </c>
      <c r="I18" s="101">
        <f>'Input data'!I26</f>
        <v>1.1788959999999999</v>
      </c>
      <c r="J18" s="101">
        <f>'Input data'!J26</f>
        <v>1.178142</v>
      </c>
      <c r="K18" s="101">
        <f>'Input data'!K26</f>
        <v>1.177387</v>
      </c>
      <c r="L18" s="101">
        <f>'Input data'!L26</f>
        <v>1.176633</v>
      </c>
      <c r="M18" s="101">
        <f>'Input data'!M26</f>
        <v>1.175878</v>
      </c>
      <c r="N18" s="101">
        <f>'Input data'!N26</f>
        <v>1.1751240000000001</v>
      </c>
      <c r="O18" s="101">
        <f>'Input data'!O26</f>
        <v>1.1743699999999999</v>
      </c>
      <c r="P18" s="101">
        <f>'Input data'!P26</f>
        <v>1.1736150000000001</v>
      </c>
      <c r="Q18" s="101">
        <f>'Input data'!Q26</f>
        <v>1.1728609999999999</v>
      </c>
      <c r="R18" s="101">
        <f>'Input data'!R26</f>
        <v>1.1721060000000001</v>
      </c>
      <c r="S18" s="101">
        <f>'Input data'!S26</f>
        <v>1.1713519999999999</v>
      </c>
      <c r="T18" s="101">
        <f>'Input data'!T26</f>
        <v>1.170598</v>
      </c>
      <c r="U18" s="101">
        <f>'Input data'!U26</f>
        <v>1.169843</v>
      </c>
      <c r="V18" s="101">
        <f>'Input data'!V26</f>
        <v>1.169089</v>
      </c>
      <c r="W18" s="101">
        <f>'Input data'!W26</f>
        <v>1.168334</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42098.46</v>
      </c>
      <c r="D22" s="100">
        <f>IF(AND(D49&gt;1,C49&gt;1),IF(AND(D49&gt;0,C49&gt;0),D26*(D50/100+1),0)+IF(D49&gt;0,C22*(1+D51/100),0)-C22*(1+'Input data'!D30/100),IF(D49=1,D26,C22*(1+D51/100)))</f>
        <v>44028.004183516801</v>
      </c>
      <c r="E22" s="100">
        <f>IF(AND(E49&gt;1,D49&gt;1),IF(AND(E49&gt;0,D49&gt;0),E26*(E50/100+1),0)+IF(E49&gt;0,D22*(1+E51/100),0)-D22*(1+'Input data'!E30/100),IF(E49=1,E26,D22*(1+E51/100)))</f>
        <v>43628.368197491611</v>
      </c>
      <c r="F22" s="100">
        <f>IF(AND(F49&gt;1,E49&gt;1),IF(AND(F49&gt;0,E49&gt;0),F26*(F50/100+1),0)+IF(F49&gt;0,E22*(1+F51/100),0)-E22*(1+'Input data'!F30/100),IF(F49=1,F26,E22*(1+F51/100)))</f>
        <v>44682.719701791517</v>
      </c>
      <c r="G22" s="34">
        <f>IF(AND(G49&gt;1,F49&gt;1),IF(AND(G49&gt;0,F49&gt;0),G26*(G50/100+1),0)+IF(G49&gt;0,F22*(1+G51/100),0)-F22*(1+'Input data'!G30/100),IF(G49=1,G26,F22*(1+G51/100)))</f>
        <v>45926.73934389864</v>
      </c>
      <c r="H22" s="34">
        <f>IF(AND(H49&gt;1,G49&gt;1),IF(AND(H49&gt;0,G49&gt;0),H26*(H50/100+1),0)+IF(H49&gt;0,G22*(1+H51/100),0)-G22*(1+'Input data'!H30/100),IF(H49=1,H26,G22*(1+H51/100)))</f>
        <v>46881.6837183139</v>
      </c>
      <c r="I22" s="34">
        <f>IF(AND(I49&gt;1,H49&gt;1),IF(AND(I49&gt;0,H49&gt;0),I26*(I50/100+1),0)+IF(I49&gt;0,H22*(1+I51/100),0)-H22*(1+'Input data'!I30/100),IF(I49=1,I26,H22*(1+I51/100)))</f>
        <v>47820.086444207474</v>
      </c>
      <c r="J22" s="34">
        <f>IF(AND(J49&gt;1,I49&gt;1),IF(AND(J49&gt;0,I49&gt;0),J26*(J50/100+1),0)+IF(J49&gt;0,I22*(1+J51/100),0)-I22*(1+'Input data'!J30/100),IF(J49=1,J26,I22*(1+J51/100)))</f>
        <v>48751.577760948043</v>
      </c>
      <c r="K22" s="34">
        <f>IF(AND(K49&gt;1,J49&gt;1),IF(AND(K49&gt;0,J49&gt;0),K26*(K50/100+1),0)+IF(K49&gt;0,J22*(1+K51/100),0)-J22*(1+'Input data'!K30/100),IF(K49=1,K26,J22*(1+K51/100)))</f>
        <v>50060.32161204295</v>
      </c>
      <c r="L22" s="34">
        <f>IF(AND(L49&gt;1,K49&gt;1),IF(AND(L49&gt;0,K49&gt;0),L26*(L50/100+1),0)+IF(L49&gt;0,K22*(1+L51/100),0)-K22*(1+'Input data'!L30/100),IF(L49=1,L26,K22*(1+L51/100)))</f>
        <v>51300.916356388567</v>
      </c>
      <c r="M22" s="34">
        <f>IF(AND(M49&gt;1,L49&gt;1),IF(AND(M49&gt;0,L49&gt;0),M26*(M50/100+1),0)+IF(M49&gt;0,L22*(1+M51/100),0)-L22*(1+'Input data'!M30/100),IF(M49=1,M26,L22*(1+M51/100)))</f>
        <v>52385.857129020886</v>
      </c>
      <c r="N22" s="34">
        <f>IF(AND(N49&gt;1,M49&gt;1),IF(AND(N49&gt;0,M49&gt;0),N26*(N50/100+1),0)+IF(N49&gt;0,M22*(1+N51/100),0)-M22*(1+'Input data'!N30/100),IF(N49=1,N26,M22*(1+N51/100)))</f>
        <v>53427.498399491473</v>
      </c>
      <c r="O22" s="34">
        <f>IF(AND(O49&gt;1,N49&gt;1),IF(AND(O49&gt;0,N49&gt;0),O26*(O50/100+1),0)+IF(O49&gt;0,N22*(1+O51/100),0)-N22*(1+'Input data'!O30/100),IF(O49=1,O26,N22*(1+O51/100)))</f>
        <v>54481.872180089063</v>
      </c>
      <c r="P22" s="34">
        <f>IF(AND(P49&gt;1,O49&gt;1),IF(AND(P49&gt;0,O49&gt;0),P26*(P50/100+1),0)+IF(P49&gt;0,O22*(1+P51/100),0)-O22*(1+'Input data'!P30/100),IF(P49=1,P26,O22*(1+P51/100)))</f>
        <v>55486.907448475999</v>
      </c>
      <c r="Q22" s="34">
        <f>IF(AND(Q49&gt;1,P49&gt;1),IF(AND(Q49&gt;0,P49&gt;0),Q26*(Q50/100+1),0)+IF(Q49&gt;0,P22*(1+Q51/100),0)-P22*(1+'Input data'!Q30/100),IF(Q49=1,Q26,P22*(1+Q51/100)))</f>
        <v>56489.411045241512</v>
      </c>
      <c r="R22" s="34">
        <f>IF(AND(R49&gt;1,Q49&gt;1),IF(AND(R49&gt;0,Q49&gt;0),R26*(R50/100+1),0)+IF(R49&gt;0,Q22*(1+R51/100),0)-Q22*(1+'Input data'!R30/100),IF(R49=1,R26,Q22*(1+R51/100)))</f>
        <v>57488.578800986426</v>
      </c>
      <c r="S22" s="34">
        <f>IF(AND(S49&gt;1,R49&gt;1),IF(AND(S49&gt;0,R49&gt;0),S26*(S50/100+1),0)+IF(S49&gt;0,R22*(1+S51/100),0)-R22*(1+'Input data'!S30/100),IF(S49=1,S26,R22*(1+S51/100)))</f>
        <v>58501.000389192202</v>
      </c>
      <c r="T22" s="34">
        <f>IF(AND(T49&gt;1,S49&gt;1),IF(AND(T49&gt;0,S49&gt;0),T26*(T50/100+1),0)+IF(T49&gt;0,S22*(1+T51/100),0)-S22*(1+'Input data'!T30/100),IF(T49=1,T26,S22*(1+T51/100)))</f>
        <v>59499.99272233824</v>
      </c>
      <c r="U22" s="34">
        <f>IF(AND(U49&gt;1,T49&gt;1),IF(AND(U49&gt;0,T49&gt;0),U26*(U50/100+1),0)+IF(U49&gt;0,T22*(1+U51/100),0)-T22*(1+'Input data'!U30/100),IF(U49=1,U26,T22*(1+U51/100)))</f>
        <v>60483.508562040828</v>
      </c>
      <c r="V22" s="34">
        <f>IF(AND(V49&gt;1,U49&gt;1),IF(AND(V49&gt;0,U49&gt;0),V26*(V50/100+1),0)+IF(V49&gt;0,U22*(1+V51/100),0)-U22*(1+'Input data'!V30/100),IF(V49=1,V26,U22*(1+V51/100)))</f>
        <v>61462.590800404629</v>
      </c>
      <c r="W22" s="34">
        <f>IF(AND(W49&gt;1,V49&gt;1),IF(AND(W49&gt;0,V49&gt;0),W26*(W50/100+1),0)+IF(W49&gt;0,V22*(1+W51/100),0)-V22*(1+'Input data'!W30/100),IF(W49=1,W26,V22*(1+W51/100)))</f>
        <v>62446.68862436487</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7.0612209999999997</v>
      </c>
      <c r="D23" s="100">
        <f t="shared" ref="D23:T23" si="0">100*(D22/C22-1)</f>
        <v>4.583408000000011</v>
      </c>
      <c r="E23" s="100">
        <f t="shared" si="0"/>
        <v>-0.90768589999999927</v>
      </c>
      <c r="F23" s="100">
        <f t="shared" si="0"/>
        <v>2.4166649999999956</v>
      </c>
      <c r="G23" s="34">
        <f t="shared" si="0"/>
        <v>2.7841180000000021</v>
      </c>
      <c r="H23" s="34">
        <f t="shared" si="0"/>
        <v>2.0792775364796734</v>
      </c>
      <c r="I23" s="34">
        <f t="shared" si="0"/>
        <v>2.0016404093588402</v>
      </c>
      <c r="J23" s="34">
        <f t="shared" si="0"/>
        <v>1.9479080570616647</v>
      </c>
      <c r="K23" s="34">
        <f t="shared" si="0"/>
        <v>2.6845158889262866</v>
      </c>
      <c r="L23" s="34">
        <f t="shared" si="0"/>
        <v>2.4781997086634089</v>
      </c>
      <c r="M23" s="34">
        <f t="shared" si="0"/>
        <v>2.1148565165877597</v>
      </c>
      <c r="N23" s="34">
        <f>100*(N22/M22-1)</f>
        <v>1.9884016938104709</v>
      </c>
      <c r="O23" s="34">
        <f t="shared" si="0"/>
        <v>1.9734664960611825</v>
      </c>
      <c r="P23" s="34">
        <f t="shared" si="0"/>
        <v>1.8447150000000079</v>
      </c>
      <c r="Q23" s="34">
        <f t="shared" si="0"/>
        <v>1.8067389999999905</v>
      </c>
      <c r="R23" s="34">
        <f t="shared" si="0"/>
        <v>1.7687699999999973</v>
      </c>
      <c r="S23" s="34">
        <f t="shared" si="0"/>
        <v>1.7610829999999966</v>
      </c>
      <c r="T23" s="34">
        <f t="shared" si="0"/>
        <v>1.7076499999999939</v>
      </c>
      <c r="U23" s="34">
        <f t="shared" ref="U23" si="1">100*(U22/T22-1)</f>
        <v>1.6529680000000102</v>
      </c>
      <c r="V23" s="34">
        <f t="shared" ref="V23" si="2">100*(V22/U22-1)</f>
        <v>1.6187589999999918</v>
      </c>
      <c r="W23" s="34">
        <f t="shared" ref="W23" si="3">100*(W22/V22-1)</f>
        <v>1.601132999999999</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42044.3</v>
      </c>
      <c r="D26" s="100">
        <f>+C26*(1+'Input data'!D33/100)</f>
        <v>43329.925139640996</v>
      </c>
      <c r="E26" s="100">
        <f>+D26*(1+'Input data'!E33/100)</f>
        <v>44260.154070800636</v>
      </c>
      <c r="F26" s="100">
        <f>+E26*(1+'Input data'!F33/100)</f>
        <v>45233.969964080257</v>
      </c>
      <c r="G26" s="34">
        <f>+F26*(1+'Input data'!G33/100)</f>
        <v>46351.368439873753</v>
      </c>
      <c r="H26" s="34">
        <f>+G26*(1+'Input data'!H33/100)</f>
        <v>47398.502401600002</v>
      </c>
      <c r="I26" s="34">
        <f>+H26*(1+'Input data'!I33/100)</f>
        <v>48404.005699817113</v>
      </c>
      <c r="J26" s="34">
        <f>+I26*(1+'Input data'!J33/100)</f>
        <v>49385.459840588308</v>
      </c>
      <c r="K26" s="34">
        <f>+J26*(1+'Input data'!K33/100)</f>
        <v>50400.183377787478</v>
      </c>
      <c r="L26" s="34">
        <f>+K26*(1+'Input data'!L33/100)</f>
        <v>51438.29460288761</v>
      </c>
      <c r="M26" s="34">
        <f>+L26*(1+'Input data'!M33/100)</f>
        <v>52479.29612208256</v>
      </c>
      <c r="N26" s="34">
        <f>+M26*(1+'Input data'!N33/100)</f>
        <v>53475.104410616063</v>
      </c>
      <c r="O26" s="34">
        <f>+N26*(1+'Input data'!O33/100)</f>
        <v>54481.872180089063</v>
      </c>
      <c r="P26" s="34">
        <f>+O26*(1+'Input data'!P33/100)</f>
        <v>55486.906358838547</v>
      </c>
      <c r="Q26" s="34">
        <f>+P26*(1+'Input data'!Q33/100)</f>
        <v>56489.411045655288</v>
      </c>
      <c r="R26" s="34">
        <f>+Q26*(1+'Input data'!R33/100)</f>
        <v>57488.578236513415</v>
      </c>
      <c r="S26" s="34">
        <f>+R26*(1+'Input data'!S33/100)</f>
        <v>58501.001539435696</v>
      </c>
      <c r="T26" s="34">
        <f>+S26*(1+'Input data'!T33/100)</f>
        <v>59499.993892223865</v>
      </c>
      <c r="U26" s="34">
        <f>+T26*(1+'Input data'!U33/100)</f>
        <v>60483.509156264336</v>
      </c>
      <c r="V26" s="34">
        <f>+U26*(1+'Input data'!V33/100)</f>
        <v>61462.589589741918</v>
      </c>
      <c r="W26" s="34">
        <f>+V26*(1+'Input data'!W33/100)</f>
        <v>62446.686779691947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0.12881651020471008</v>
      </c>
      <c r="D29" s="100">
        <f t="shared" si="4"/>
        <v>1.6110783520305594</v>
      </c>
      <c r="E29" s="100">
        <f t="shared" si="4"/>
        <v>-1.4274371306940981</v>
      </c>
      <c r="F29" s="100">
        <f t="shared" si="4"/>
        <v>-1.2186643417026688</v>
      </c>
      <c r="G29" s="34">
        <f t="shared" si="4"/>
        <v>-0.91610908214271314</v>
      </c>
      <c r="H29" s="34">
        <f t="shared" si="4"/>
        <v>-1.0903692249750407</v>
      </c>
      <c r="I29" s="34">
        <f t="shared" si="4"/>
        <v>-1.2063449030042639</v>
      </c>
      <c r="J29" s="34">
        <f t="shared" si="4"/>
        <v>-1.2835398955206245</v>
      </c>
      <c r="K29" s="34">
        <f t="shared" si="4"/>
        <v>-0.67432644678494524</v>
      </c>
      <c r="L29" s="34">
        <f t="shared" si="4"/>
        <v>-0.26707387474570465</v>
      </c>
      <c r="M29" s="34">
        <f t="shared" si="4"/>
        <v>-0.17804924983045867</v>
      </c>
      <c r="N29" s="34">
        <f t="shared" si="4"/>
        <v>-8.9024624915245987E-2</v>
      </c>
      <c r="O29" s="34">
        <f t="shared" si="4"/>
        <v>0</v>
      </c>
      <c r="P29" s="34">
        <f t="shared" si="4"/>
        <v>1.9637740100719725E-6</v>
      </c>
      <c r="Q29" s="34">
        <f t="shared" si="4"/>
        <v>-7.3248074272669328E-10</v>
      </c>
      <c r="R29" s="34">
        <f t="shared" si="4"/>
        <v>9.8188723818282142E-7</v>
      </c>
      <c r="S29" s="34">
        <f t="shared" si="4"/>
        <v>-1.9661945294124905E-6</v>
      </c>
      <c r="T29" s="34">
        <f t="shared" si="4"/>
        <v>-1.9661945294124905E-6</v>
      </c>
      <c r="U29" s="34">
        <f t="shared" ref="U29:W29" si="5">100*(U22/U26-1)</f>
        <v>-9.8245540591790359E-7</v>
      </c>
      <c r="V29" s="34">
        <f t="shared" si="5"/>
        <v>1.969755447639443E-6</v>
      </c>
      <c r="W29" s="34">
        <f t="shared" si="5"/>
        <v>2.9539964696567722E-6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13.955157461405875</v>
      </c>
      <c r="D32" s="2">
        <f t="shared" si="6"/>
        <v>19.467028376067198</v>
      </c>
      <c r="E32" s="2">
        <f t="shared" si="6"/>
        <v>13.707449415840411</v>
      </c>
      <c r="F32" s="2">
        <f t="shared" si="6"/>
        <v>7.8448926524976592</v>
      </c>
      <c r="G32" s="1">
        <f t="shared" si="6"/>
        <v>6.6898877601293316</v>
      </c>
      <c r="H32" s="1">
        <f t="shared" si="6"/>
        <v>5.8829833926471009</v>
      </c>
      <c r="I32" s="1">
        <f t="shared" si="6"/>
        <v>5.7272304349907932</v>
      </c>
      <c r="J32" s="1">
        <f t="shared" si="6"/>
        <v>5.5963522501186969</v>
      </c>
      <c r="K32" s="1">
        <f t="shared" si="6"/>
        <v>6.2835948218460835</v>
      </c>
      <c r="L32" s="1">
        <f t="shared" si="6"/>
        <v>5.9944729445424505</v>
      </c>
      <c r="M32" s="1">
        <f t="shared" si="6"/>
        <v>5.543356186666526</v>
      </c>
      <c r="N32" s="1">
        <f t="shared" si="6"/>
        <v>5.3374425198079223</v>
      </c>
      <c r="O32" s="1">
        <f t="shared" si="6"/>
        <v>5.2468147705847512</v>
      </c>
      <c r="P32" s="1">
        <f t="shared" si="6"/>
        <v>5.1032366564250031</v>
      </c>
      <c r="Q32" s="1">
        <f t="shared" si="6"/>
        <v>5.0533559067099887</v>
      </c>
      <c r="R32" s="1">
        <f t="shared" si="6"/>
        <v>5.003490354450002</v>
      </c>
      <c r="S32" s="1">
        <f t="shared" si="6"/>
        <v>4.9848741094399962</v>
      </c>
      <c r="T32" s="1">
        <f t="shared" si="6"/>
        <v>4.9190690487499911</v>
      </c>
      <c r="U32" s="1">
        <f t="shared" si="6"/>
        <v>4.851986902960026</v>
      </c>
      <c r="V32" s="1">
        <f t="shared" si="6"/>
        <v>4.8060313760349915</v>
      </c>
      <c r="W32" s="1">
        <f t="shared" si="6"/>
        <v>4.777184417580016</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3.2392629999999998</v>
      </c>
      <c r="D35" s="100">
        <f>'Input data'!D37</f>
        <v>4.4184200000000002</v>
      </c>
      <c r="E35" s="100">
        <f>'Input data'!E37</f>
        <v>7.2293640000000003</v>
      </c>
      <c r="F35" s="100">
        <f>'Input data'!F37</f>
        <v>7.2143069999999998</v>
      </c>
      <c r="G35" s="100">
        <f>'Input data'!G37</f>
        <v>5.985741</v>
      </c>
      <c r="H35" s="34">
        <f t="shared" ref="H35:W35" si="7">H92</f>
        <v>6.1006442626004187</v>
      </c>
      <c r="I35" s="34">
        <f t="shared" si="7"/>
        <v>6.1883468017334327</v>
      </c>
      <c r="J35" s="34">
        <f t="shared" si="7"/>
        <v>6.2553067442008849</v>
      </c>
      <c r="K35" s="34">
        <f t="shared" si="7"/>
        <v>6.3049549272222096</v>
      </c>
      <c r="L35" s="34">
        <f t="shared" si="7"/>
        <v>6.343406585508153</v>
      </c>
      <c r="M35" s="34">
        <f t="shared" si="7"/>
        <v>6.3721289685147262</v>
      </c>
      <c r="N35" s="34">
        <f t="shared" si="7"/>
        <v>6.3915354735186458</v>
      </c>
      <c r="O35" s="34">
        <f t="shared" si="7"/>
        <v>6.4024018002277128</v>
      </c>
      <c r="P35" s="34">
        <f t="shared" si="7"/>
        <v>6.3945652780119753</v>
      </c>
      <c r="Q35" s="34">
        <f t="shared" si="7"/>
        <v>6.37845680393146</v>
      </c>
      <c r="R35" s="34">
        <f t="shared" si="7"/>
        <v>6.354680865344835</v>
      </c>
      <c r="S35" s="34">
        <f t="shared" si="7"/>
        <v>6.32373921463443</v>
      </c>
      <c r="T35" s="34">
        <f t="shared" si="7"/>
        <v>6.2861310956190097</v>
      </c>
      <c r="U35" s="34">
        <f t="shared" si="7"/>
        <v>6.2423416711118307</v>
      </c>
      <c r="V35" s="34">
        <f t="shared" si="7"/>
        <v>6.1928188366619539</v>
      </c>
      <c r="W35" s="34">
        <f t="shared" si="7"/>
        <v>6.1379987612682392</v>
      </c>
    </row>
    <row r="36" spans="2:51" x14ac:dyDescent="0.2">
      <c r="B36" s="32" t="s">
        <v>94</v>
      </c>
      <c r="C36" s="1"/>
      <c r="D36" s="2">
        <f>'Input data'!D$39</f>
        <v>7.57</v>
      </c>
      <c r="E36" s="2">
        <f>'Input data'!E$39</f>
        <v>7.51</v>
      </c>
      <c r="F36" s="166">
        <f>'Input data'!F$39</f>
        <v>6.852957</v>
      </c>
      <c r="G36" s="166">
        <f>'Input data'!G$39</f>
        <v>7.0544219999999997</v>
      </c>
      <c r="H36" s="1">
        <f>G36+($O$36-$G$36)/($O$10-$G$10)</f>
        <v>6.9882267499999999</v>
      </c>
      <c r="I36" s="1">
        <f t="shared" ref="I36:M36" si="8">H36+($O$36-$G$36)/($O$10-$G$10)</f>
        <v>6.9220315000000001</v>
      </c>
      <c r="J36" s="1">
        <f t="shared" si="8"/>
        <v>6.8558362500000003</v>
      </c>
      <c r="K36" s="1">
        <f t="shared" si="8"/>
        <v>6.7896410000000005</v>
      </c>
      <c r="L36" s="1">
        <f t="shared" si="8"/>
        <v>6.7234457500000007</v>
      </c>
      <c r="M36" s="1">
        <f t="shared" si="8"/>
        <v>6.6572505000000008</v>
      </c>
      <c r="N36" s="1">
        <f>M36+($O$36-$G$36)/($O$10-$G$10)</f>
        <v>6.591055250000001</v>
      </c>
      <c r="O36" s="252">
        <f>'Input data'!$C$52</f>
        <v>6.5248600000000003</v>
      </c>
      <c r="P36" s="1">
        <f>'Baseline NFPC'!P36</f>
        <v>6.4486170000000005</v>
      </c>
      <c r="Q36" s="1">
        <f>'Baseline NFPC'!Q36</f>
        <v>6.3723740000000006</v>
      </c>
      <c r="R36" s="1">
        <f>'Baseline NFPC'!R36</f>
        <v>6.2961309999999999</v>
      </c>
      <c r="S36" s="1">
        <f>'Baseline NFPC'!S36</f>
        <v>6.2198880000000001</v>
      </c>
      <c r="T36" s="1">
        <f>'Baseline NFPC'!T36</f>
        <v>6.1436450000000002</v>
      </c>
      <c r="U36" s="1">
        <f>'Baseline NFPC'!U36</f>
        <v>6.0674020000000004</v>
      </c>
      <c r="V36" s="1">
        <f>'Baseline NFPC'!V36</f>
        <v>5.9911590000000006</v>
      </c>
      <c r="W36" s="1">
        <f>'Baseline NFPC'!W36</f>
        <v>5.9149159999999998</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10.32</v>
      </c>
      <c r="E37" s="2">
        <f>'Input data'!E$38</f>
        <v>15.97</v>
      </c>
      <c r="F37" s="166">
        <f>'Input data'!F$38</f>
        <v>7.4377000000000004</v>
      </c>
      <c r="G37" s="166">
        <f>'Input data'!G$38</f>
        <v>6.4500719999999996</v>
      </c>
      <c r="H37" s="1">
        <f>G37+($O$37-$G$37)/($O$10-$G$10)</f>
        <v>6.4235542499999996</v>
      </c>
      <c r="I37" s="1">
        <f t="shared" ref="I37:N37" si="9">H37+($O$37-$G$37)/($O$10-$G$10)</f>
        <v>6.3970364999999996</v>
      </c>
      <c r="J37" s="1">
        <f t="shared" si="9"/>
        <v>6.3705187499999996</v>
      </c>
      <c r="K37" s="1">
        <f t="shared" si="9"/>
        <v>6.3440009999999996</v>
      </c>
      <c r="L37" s="1">
        <f t="shared" si="9"/>
        <v>6.3174832499999996</v>
      </c>
      <c r="M37" s="1">
        <f t="shared" si="9"/>
        <v>6.2909654999999995</v>
      </c>
      <c r="N37" s="1">
        <f t="shared" si="9"/>
        <v>6.2644477499999995</v>
      </c>
      <c r="O37" s="252">
        <f>'Input data'!$C$53</f>
        <v>6.2379300000000004</v>
      </c>
      <c r="P37" s="1">
        <f>'Baseline NFPC'!P37</f>
        <v>6.0510335000000008</v>
      </c>
      <c r="Q37" s="1">
        <f>'Baseline NFPC'!Q37</f>
        <v>5.8641370000000004</v>
      </c>
      <c r="R37" s="1">
        <f>'Baseline NFPC'!R37</f>
        <v>5.6772404999999999</v>
      </c>
      <c r="S37" s="1">
        <f>'Baseline NFPC'!S37</f>
        <v>5.4903440000000003</v>
      </c>
      <c r="T37" s="1">
        <f>'Baseline NFPC'!T37</f>
        <v>5.3034475000000008</v>
      </c>
      <c r="U37" s="1">
        <f>'Baseline NFPC'!U37</f>
        <v>5.1165510000000003</v>
      </c>
      <c r="V37" s="1">
        <f>'Baseline NFPC'!V37</f>
        <v>4.9296544999999998</v>
      </c>
      <c r="W37" s="1">
        <f>'Baseline NFPC'!W37</f>
        <v>4.7427580000000003</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7.9358789999999998E-2</v>
      </c>
      <c r="D38" s="34">
        <f>'Baseline NFPC'!D38</f>
        <v>6.020197E-2</v>
      </c>
      <c r="E38" s="34">
        <f>'Baseline NFPC'!E38</f>
        <v>5.0460409999999997E-2</v>
      </c>
      <c r="F38" s="34">
        <f>'Baseline NFPC'!F38</f>
        <v>6.7433850000000004E-2</v>
      </c>
      <c r="G38" s="34">
        <f>'Baseline NFPC'!G38</f>
        <v>6.8616281111111108E-2</v>
      </c>
      <c r="H38" s="34">
        <f>'Baseline NFPC'!H38</f>
        <v>6.9798712222222226E-2</v>
      </c>
      <c r="I38" s="34">
        <f>'Baseline NFPC'!I38</f>
        <v>7.098114333333333E-2</v>
      </c>
      <c r="J38" s="34">
        <f>'Baseline NFPC'!J38</f>
        <v>7.2163574444444448E-2</v>
      </c>
      <c r="K38" s="34">
        <f>'Baseline NFPC'!K38</f>
        <v>7.3346005555555552E-2</v>
      </c>
      <c r="L38" s="34">
        <f>'Baseline NFPC'!L38</f>
        <v>7.452843666666667E-2</v>
      </c>
      <c r="M38" s="34">
        <f>'Baseline NFPC'!M38</f>
        <v>7.5710867777777774E-2</v>
      </c>
      <c r="N38" s="34">
        <f>'Baseline NFPC'!N38</f>
        <v>7.6893298888888878E-2</v>
      </c>
      <c r="O38" s="34">
        <f>'Baseline NFPC'!O38</f>
        <v>7.8075729999999996E-2</v>
      </c>
      <c r="P38" s="34">
        <f>'Baseline NFPC'!P38</f>
        <v>7.8075729999999996E-2</v>
      </c>
      <c r="Q38" s="34">
        <f>'Baseline NFPC'!Q38</f>
        <v>7.8075729999999996E-2</v>
      </c>
      <c r="R38" s="34">
        <f>'Baseline NFPC'!R38</f>
        <v>7.8075729999999996E-2</v>
      </c>
      <c r="S38" s="34">
        <f>'Baseline NFPC'!S38</f>
        <v>7.8075729999999996E-2</v>
      </c>
      <c r="T38" s="34">
        <f>'Baseline NFPC'!T38</f>
        <v>7.8075729999999996E-2</v>
      </c>
      <c r="U38" s="34">
        <f>'Baseline NFPC'!U38</f>
        <v>7.8075729999999996E-2</v>
      </c>
      <c r="V38" s="34">
        <f>'Baseline NFPC'!V38</f>
        <v>7.8075729999999996E-2</v>
      </c>
      <c r="W38" s="34">
        <f>'Baseline NFPC'!W38</f>
        <v>7.8075729999999996E-2</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6.4392469999999999</v>
      </c>
      <c r="D41" s="2">
        <f>'Input data'!D42</f>
        <v>14.231339999999999</v>
      </c>
      <c r="E41" s="2">
        <f>'Input data'!E42</f>
        <v>14.74901</v>
      </c>
      <c r="F41" s="2">
        <f>'Input data'!F42</f>
        <v>5.300141</v>
      </c>
      <c r="G41" s="2">
        <f>'Input data'!G42</f>
        <v>3.7999740000000002</v>
      </c>
      <c r="H41" s="1">
        <f>'Baseline NFPC'!H41</f>
        <v>3.72622725</v>
      </c>
      <c r="I41" s="1">
        <f>'Baseline NFPC'!I41</f>
        <v>3.6524805000000002</v>
      </c>
      <c r="J41" s="1">
        <f>'Baseline NFPC'!J41</f>
        <v>3.57873375</v>
      </c>
      <c r="K41" s="1">
        <f>'Baseline NFPC'!K41</f>
        <v>3.5049869999999999</v>
      </c>
      <c r="L41" s="1">
        <f>'Baseline NFPC'!L41</f>
        <v>3.4312402500000001</v>
      </c>
      <c r="M41" s="1">
        <f>'Baseline NFPC'!M41</f>
        <v>3.3574934999999999</v>
      </c>
      <c r="N41" s="1">
        <f>'Baseline NFPC'!N41</f>
        <v>3.2837467499999997</v>
      </c>
      <c r="O41" s="252">
        <f>'Baseline NFPC'!O41</f>
        <v>3.21</v>
      </c>
      <c r="P41" s="1">
        <f>'Baseline NFPC'!P41</f>
        <v>3.1995</v>
      </c>
      <c r="Q41" s="1">
        <f>'Baseline NFPC'!Q41</f>
        <v>3.1890000000000001</v>
      </c>
      <c r="R41" s="1">
        <f>'Baseline NFPC'!R41</f>
        <v>3.1785000000000001</v>
      </c>
      <c r="S41" s="1">
        <f>'Baseline NFPC'!S41</f>
        <v>3.1680000000000001</v>
      </c>
      <c r="T41" s="1">
        <f>'Baseline NFPC'!T41</f>
        <v>3.1574999999999998</v>
      </c>
      <c r="U41" s="1">
        <f>'Baseline NFPC'!U41</f>
        <v>3.1469999999999998</v>
      </c>
      <c r="V41" s="1">
        <f>'Baseline NFPC'!V41</f>
        <v>3.1364999999999998</v>
      </c>
      <c r="W41" s="1">
        <f>'Baseline NFPC'!W41</f>
        <v>3.1259999999999999</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1.002497</v>
      </c>
      <c r="D42" s="1">
        <f>'Baseline NFPC'!D42</f>
        <v>1.052827</v>
      </c>
      <c r="E42" s="1">
        <f>'Baseline NFPC'!E42</f>
        <v>0.98856089999999996</v>
      </c>
      <c r="F42" s="1">
        <f>'Baseline NFPC'!F42</f>
        <v>1.0111460000000001</v>
      </c>
      <c r="G42" s="1">
        <f>'Baseline NFPC'!G42</f>
        <v>1.001916</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0.45300000000000001</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-0.61073938809514206</v>
      </c>
      <c r="I50" s="34">
        <f t="shared" si="10"/>
        <v>-0.72691281665002716</v>
      </c>
      <c r="J50" s="34">
        <f t="shared" si="10"/>
        <v>-0.80422993533617593</v>
      </c>
      <c r="K50" s="34">
        <f t="shared" si="10"/>
        <v>-0.85569326368041632</v>
      </c>
      <c r="L50" s="34">
        <f t="shared" si="10"/>
        <v>-0.44955096452329679</v>
      </c>
      <c r="M50" s="34">
        <f t="shared" si="10"/>
        <v>-0.17804924983046977</v>
      </c>
      <c r="N50" s="34">
        <f t="shared" si="10"/>
        <v>-8.9024624915234885E-2</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4.5834080000000004</v>
      </c>
      <c r="E51" s="34">
        <f>'Input data'!E30-$C$46*((E12-D12)-('Input data'!E13-'Input data'!D13))</f>
        <v>-0.90768590000000005</v>
      </c>
      <c r="F51" s="34">
        <f>'Input data'!F30-$C$46*((F12-E12)-('Input data'!F13-'Input data'!E13))</f>
        <v>2.4166650000000001</v>
      </c>
      <c r="G51" s="34">
        <f>'Input data'!G30-$C$46*((G12-F12))</f>
        <v>2.7841179999999999</v>
      </c>
      <c r="H51" s="34">
        <f>'Input data'!H30-$C$46*((H12-G12))</f>
        <v>1.9144060000000001</v>
      </c>
      <c r="I51" s="34">
        <f>'Input data'!I30-$C$46*((I12-H12))</f>
        <v>1.8261859999999999</v>
      </c>
      <c r="J51" s="34">
        <f>'Input data'!J30-$C$46*((J12-I12))</f>
        <v>1.6322459999999999</v>
      </c>
      <c r="K51" s="34">
        <f>'Input data'!K30-$C$46*((K12-J12))</f>
        <v>2.2421989999999998</v>
      </c>
      <c r="L51" s="34">
        <f>'Input data'!L30-$C$46*((L12-K12))</f>
        <v>2.247233</v>
      </c>
      <c r="M51" s="34">
        <f>'Input data'!M30-$C$46*((M12-L12))</f>
        <v>2.023784</v>
      </c>
      <c r="N51" s="34">
        <f>'Input data'!N30-$C$46*((N12-M12))</f>
        <v>1.897527</v>
      </c>
      <c r="O51" s="34">
        <f>'Input data'!O30-$C$46*((O12-N12))</f>
        <v>1.8826879999999999</v>
      </c>
      <c r="P51" s="34">
        <f>'Input data'!P30-$C$46*((P12-O12))</f>
        <v>1.8447150000000001</v>
      </c>
      <c r="Q51" s="34">
        <f>'Input data'!Q30-$C$46*((Q12-P12))</f>
        <v>1.8067390000000001</v>
      </c>
      <c r="R51" s="34">
        <f>'Input data'!R30-$C$46*((R12-Q12))</f>
        <v>1.76877</v>
      </c>
      <c r="S51" s="34">
        <f>'Input data'!S30-$C$46*((S12-R12))</f>
        <v>1.761083</v>
      </c>
      <c r="T51" s="34">
        <f>'Input data'!T30-$C$46*((T12-S12))</f>
        <v>1.7076499999999999</v>
      </c>
      <c r="U51" s="34">
        <f>'Input data'!U30-$C$46*((U12-T12))</f>
        <v>1.652968</v>
      </c>
      <c r="V51" s="34">
        <f>'Input data'!V30-$C$46*((V12-U12))</f>
        <v>1.6187590000000001</v>
      </c>
      <c r="W51" s="34">
        <f>'Input data'!W30-$C$46*((W12-V12))</f>
        <v>1.6011329999999999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76.688640000000007</v>
      </c>
      <c r="D56" s="45">
        <f t="shared" ref="D56:T56" si="11">+C56+D57</f>
        <v>74.056958506530151</v>
      </c>
      <c r="E56" s="45">
        <f t="shared" si="11"/>
        <v>73.520357526734585</v>
      </c>
      <c r="F56" s="45">
        <f t="shared" si="11"/>
        <v>74.287964673525892</v>
      </c>
      <c r="G56" s="45">
        <f t="shared" si="11"/>
        <v>73.854222000134087</v>
      </c>
      <c r="H56" s="45">
        <f t="shared" si="11"/>
        <v>73.145093744834028</v>
      </c>
      <c r="I56" s="45">
        <f t="shared" si="11"/>
        <v>71.995695653916613</v>
      </c>
      <c r="J56" s="45">
        <f t="shared" si="11"/>
        <v>70.351529341469288</v>
      </c>
      <c r="K56" s="45">
        <f t="shared" si="11"/>
        <v>68.259327261549117</v>
      </c>
      <c r="L56" s="45">
        <f t="shared" si="11"/>
        <v>66.487184626560449</v>
      </c>
      <c r="M56" s="45">
        <f t="shared" si="11"/>
        <v>65.051975808083085</v>
      </c>
      <c r="N56" s="45">
        <f t="shared" si="11"/>
        <v>63.806109754250905</v>
      </c>
      <c r="O56" s="46">
        <f t="shared" si="11"/>
        <v>62.698553197651499</v>
      </c>
      <c r="P56" s="46">
        <f t="shared" si="11"/>
        <v>61.814846081655311</v>
      </c>
      <c r="Q56" s="46">
        <f t="shared" si="11"/>
        <v>61.12737905812407</v>
      </c>
      <c r="R56" s="46">
        <f t="shared" si="11"/>
        <v>60.659359285329188</v>
      </c>
      <c r="S56" s="46">
        <f t="shared" si="11"/>
        <v>60.395579243721158</v>
      </c>
      <c r="T56" s="46">
        <f t="shared" si="11"/>
        <v>60.367583592442259</v>
      </c>
      <c r="U56" s="46">
        <f t="shared" ref="U56" si="12">+T56+U57</f>
        <v>60.587861526384884</v>
      </c>
      <c r="V56" s="46">
        <f t="shared" ref="V56" si="13">+U56+V57</f>
        <v>61.05742308013626</v>
      </c>
      <c r="W56" s="46">
        <f t="shared" ref="W56" si="14">+V56+W57</f>
        <v>61.789709364172644</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-2.6316814934698511</v>
      </c>
      <c r="E57" s="47">
        <f t="shared" si="15"/>
        <v>-0.53660097979557264</v>
      </c>
      <c r="F57" s="47">
        <f t="shared" si="15"/>
        <v>0.76760714679131259</v>
      </c>
      <c r="G57" s="47">
        <f t="shared" si="15"/>
        <v>-0.43374267339180306</v>
      </c>
      <c r="H57" s="47">
        <f t="shared" si="15"/>
        <v>-0.70912825530005552</v>
      </c>
      <c r="I57" s="47">
        <f t="shared" si="15"/>
        <v>-1.1493980909174168</v>
      </c>
      <c r="J57" s="47">
        <f t="shared" si="15"/>
        <v>-1.6441663124473207</v>
      </c>
      <c r="K57" s="47">
        <f t="shared" si="15"/>
        <v>-2.0922020799201677</v>
      </c>
      <c r="L57" s="47">
        <f t="shared" si="15"/>
        <v>-1.7721426349886737</v>
      </c>
      <c r="M57" s="47">
        <f t="shared" si="15"/>
        <v>-1.4352088184773593</v>
      </c>
      <c r="N57" s="47">
        <f t="shared" si="15"/>
        <v>-1.2458660538321777</v>
      </c>
      <c r="O57" s="47">
        <f t="shared" si="15"/>
        <v>-1.1075565565994048</v>
      </c>
      <c r="P57" s="47">
        <f t="shared" si="15"/>
        <v>-0.88370711599618845</v>
      </c>
      <c r="Q57" s="47">
        <f t="shared" si="15"/>
        <v>-0.68746702353123945</v>
      </c>
      <c r="R57" s="47">
        <f t="shared" si="15"/>
        <v>-0.46801977279488338</v>
      </c>
      <c r="S57" s="47">
        <f t="shared" si="15"/>
        <v>-0.26378004160802804</v>
      </c>
      <c r="T57" s="47">
        <f t="shared" si="15"/>
        <v>-2.7995651278896805E-2</v>
      </c>
      <c r="U57" s="47">
        <f t="shared" ref="U57:W57" si="16">-U58+U66+U71</f>
        <v>0.22027793394262907</v>
      </c>
      <c r="V57" s="47">
        <f t="shared" si="16"/>
        <v>0.46956155375137443</v>
      </c>
      <c r="W57" s="47">
        <f t="shared" si="16"/>
        <v>0.73228628403638329</v>
      </c>
    </row>
    <row r="58" spans="2:48" outlineLevel="1" x14ac:dyDescent="0.2">
      <c r="B58" s="84" t="s">
        <v>106</v>
      </c>
      <c r="C58" s="48"/>
      <c r="D58" s="48">
        <f t="shared" ref="D58:T58" si="17">D59+D60-D61-D62-D63-D64-D65</f>
        <v>-3.3918265065301565</v>
      </c>
      <c r="E58" s="48">
        <f t="shared" si="17"/>
        <v>-1.9835450202044265</v>
      </c>
      <c r="F58" s="48">
        <f t="shared" si="17"/>
        <v>-0.51716924679130893</v>
      </c>
      <c r="G58" s="48">
        <f t="shared" si="17"/>
        <v>0.27988828578935099</v>
      </c>
      <c r="H58" s="48">
        <f t="shared" si="17"/>
        <v>0.86094844108630664</v>
      </c>
      <c r="I58" s="48">
        <f t="shared" si="17"/>
        <v>1.4684114589390687</v>
      </c>
      <c r="J58" s="48">
        <f t="shared" si="17"/>
        <v>2.0934421273291575</v>
      </c>
      <c r="K58" s="48">
        <f t="shared" si="17"/>
        <v>2.1063408196064195</v>
      </c>
      <c r="L58" s="48">
        <f t="shared" si="17"/>
        <v>1.9968522347401958</v>
      </c>
      <c r="M58" s="48">
        <f t="shared" si="17"/>
        <v>1.9572953898268028</v>
      </c>
      <c r="N58" s="48">
        <f t="shared" si="17"/>
        <v>1.8968295449133943</v>
      </c>
      <c r="O58" s="48">
        <f t="shared" si="17"/>
        <v>1.8081337</v>
      </c>
      <c r="P58" s="48">
        <f t="shared" si="17"/>
        <v>1.6540395895896265</v>
      </c>
      <c r="Q58" s="48">
        <f t="shared" si="17"/>
        <v>1.4671746996681869</v>
      </c>
      <c r="R58" s="48">
        <f t="shared" si="17"/>
        <v>1.2546101447949196</v>
      </c>
      <c r="S58" s="48">
        <f t="shared" si="17"/>
        <v>1.0373648093138788</v>
      </c>
      <c r="T58" s="48">
        <f t="shared" si="17"/>
        <v>0.81493080931387962</v>
      </c>
      <c r="U58" s="48">
        <f t="shared" ref="U58:W58" si="18">U59+U60-U61-U62-U63-U64-U65</f>
        <v>0.58020625494770295</v>
      </c>
      <c r="V58" s="48">
        <f t="shared" si="18"/>
        <v>0.33213359229921768</v>
      </c>
      <c r="W58" s="48">
        <f t="shared" si="18"/>
        <v>6.0709038160401629E-2</v>
      </c>
    </row>
    <row r="59" spans="2:48" outlineLevel="1" x14ac:dyDescent="0.2">
      <c r="B59" s="79" t="s">
        <v>107</v>
      </c>
      <c r="C59" s="1"/>
      <c r="D59" s="1">
        <f>D12</f>
        <v>-4.121645</v>
      </c>
      <c r="E59" s="1">
        <f>E12</f>
        <v>-1.336916</v>
      </c>
      <c r="F59" s="1">
        <f>F12</f>
        <v>3.4885699999999999E-2</v>
      </c>
      <c r="G59" s="1">
        <f t="shared" ref="G59:W59" si="19">IF(G12="",F59,G12)</f>
        <v>0.69488570000000005</v>
      </c>
      <c r="H59" s="1">
        <f t="shared" si="19"/>
        <v>1.3548857000000001</v>
      </c>
      <c r="I59" s="1">
        <f t="shared" si="19"/>
        <v>2.0148857000000002</v>
      </c>
      <c r="J59" s="1">
        <f t="shared" si="19"/>
        <v>2.6748857000000004</v>
      </c>
      <c r="K59" s="1">
        <f t="shared" si="19"/>
        <v>2.4248857000000004</v>
      </c>
      <c r="L59" s="1">
        <f t="shared" si="19"/>
        <v>2.1748857000000004</v>
      </c>
      <c r="M59" s="1">
        <f t="shared" si="19"/>
        <v>2.1748857000000004</v>
      </c>
      <c r="N59" s="1">
        <f t="shared" si="19"/>
        <v>2.1748857000000004</v>
      </c>
      <c r="O59" s="1">
        <f t="shared" si="19"/>
        <v>2.1748857000000004</v>
      </c>
      <c r="P59" s="1">
        <f t="shared" si="19"/>
        <v>2.1748857000000004</v>
      </c>
      <c r="Q59" s="1">
        <f t="shared" si="19"/>
        <v>2.1748857000000004</v>
      </c>
      <c r="R59" s="1">
        <f t="shared" si="19"/>
        <v>2.1748857000000004</v>
      </c>
      <c r="S59" s="1">
        <f t="shared" si="19"/>
        <v>2.1748857000000004</v>
      </c>
      <c r="T59" s="1">
        <f t="shared" si="19"/>
        <v>2.1748857000000004</v>
      </c>
      <c r="U59" s="1">
        <f t="shared" si="19"/>
        <v>2.1748857000000004</v>
      </c>
      <c r="V59" s="1">
        <f t="shared" si="19"/>
        <v>2.1748857000000004</v>
      </c>
      <c r="W59" s="1">
        <f t="shared" si="19"/>
        <v>2.1748857000000004</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-0.7298184934698434</v>
      </c>
      <c r="E61" s="1">
        <f t="shared" si="20"/>
        <v>0.64662902020442647</v>
      </c>
      <c r="F61" s="1">
        <f t="shared" si="20"/>
        <v>0.55205494679130895</v>
      </c>
      <c r="G61" s="1">
        <f t="shared" si="20"/>
        <v>0.41499741421064906</v>
      </c>
      <c r="H61" s="1">
        <f t="shared" si="20"/>
        <v>0.49393725891369344</v>
      </c>
      <c r="I61" s="1">
        <f t="shared" si="20"/>
        <v>0.54647424106093156</v>
      </c>
      <c r="J61" s="1">
        <f t="shared" si="20"/>
        <v>0.5814435726708429</v>
      </c>
      <c r="K61" s="1">
        <f t="shared" si="20"/>
        <v>0.3054698803935802</v>
      </c>
      <c r="L61" s="1">
        <f t="shared" si="20"/>
        <v>0.12098446525980421</v>
      </c>
      <c r="M61" s="1">
        <f t="shared" si="20"/>
        <v>8.0656310173197784E-2</v>
      </c>
      <c r="N61" s="1">
        <f t="shared" si="20"/>
        <v>4.0328155086606435E-2</v>
      </c>
      <c r="O61" s="1">
        <f t="shared" si="20"/>
        <v>0</v>
      </c>
      <c r="P61" s="1">
        <f t="shared" si="20"/>
        <v>-8.8958962656260361E-7</v>
      </c>
      <c r="Q61" s="1">
        <f t="shared" si="20"/>
        <v>3.3181377645519209E-10</v>
      </c>
      <c r="R61" s="1">
        <f t="shared" si="20"/>
        <v>-4.447949188968181E-7</v>
      </c>
      <c r="S61" s="1">
        <f t="shared" si="20"/>
        <v>8.9068612182385818E-7</v>
      </c>
      <c r="T61" s="1">
        <f t="shared" si="20"/>
        <v>8.9068612182385818E-7</v>
      </c>
      <c r="U61" s="1">
        <f t="shared" si="20"/>
        <v>4.4505229888081035E-7</v>
      </c>
      <c r="V61" s="1">
        <f t="shared" si="20"/>
        <v>-8.9229921778066774E-7</v>
      </c>
      <c r="W61" s="1">
        <f t="shared" si="20"/>
        <v>-1.3381604007545178E-6</v>
      </c>
    </row>
    <row r="62" spans="2:48" outlineLevel="1" x14ac:dyDescent="0.2">
      <c r="B62" s="79" t="s">
        <v>110</v>
      </c>
      <c r="C62" s="1"/>
      <c r="D62" s="1">
        <f t="shared" ref="D62:W62" si="21">-D13</f>
        <v>0</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1.2320000000000775E-2</v>
      </c>
      <c r="L63" s="1">
        <f>IF(L$55&lt;=$C$6,0,HLOOKUP(L$55,'Input data'!$C$9:$BB$26,12,FALSE)-HLOOKUP($C$6,'Input data'!$C$9:$BB$26,12,FALSE))</f>
        <v>5.5540000000000589E-2</v>
      </c>
      <c r="M63" s="1">
        <f>IF(M$55&lt;=$C$6,0,HLOOKUP(M$55,'Input data'!$C$9:$BB$26,12,FALSE)-HLOOKUP($C$6,'Input data'!$C$9:$BB$26,12,FALSE))</f>
        <v>0.13466999999999985</v>
      </c>
      <c r="N63" s="1">
        <f>IF(N$55&lt;=$C$6,0,HLOOKUP(N$55,'Input data'!$C$9:$BB$26,12,FALSE)-HLOOKUP($C$6,'Input data'!$C$9:$BB$26,12,FALSE))</f>
        <v>0.23470999999999975</v>
      </c>
      <c r="O63" s="1">
        <f>IF(O$55&lt;=$C$6,0,HLOOKUP(O$55,'Input data'!$C$9:$BB$26,12,FALSE)-HLOOKUP($C$6,'Input data'!$C$9:$BB$26,12,FALSE))</f>
        <v>0.3629800000000003</v>
      </c>
      <c r="P63" s="1">
        <f>IF(P$55&lt;=$C$6,0,HLOOKUP(P$55,'Input data'!$C$9:$BB$26,12,FALSE)-HLOOKUP($C$6,'Input data'!$C$9:$BB$26,12,FALSE))</f>
        <v>0.51632000000000033</v>
      </c>
      <c r="Q63" s="1">
        <f>IF(Q$55&lt;=$C$6,0,HLOOKUP(Q$55,'Input data'!$C$9:$BB$26,12,FALSE)-HLOOKUP($C$6,'Input data'!$C$9:$BB$26,12,FALSE))</f>
        <v>0.70242999999999967</v>
      </c>
      <c r="R63" s="1">
        <f>IF(R$55&lt;=$C$6,0,HLOOKUP(R$55,'Input data'!$C$9:$BB$26,12,FALSE)-HLOOKUP($C$6,'Input data'!$C$9:$BB$26,12,FALSE))</f>
        <v>0.9142399999999995</v>
      </c>
      <c r="S63" s="1">
        <f>IF(S$55&lt;=$C$6,0,HLOOKUP(S$55,'Input data'!$C$9:$BB$26,12,FALSE)-HLOOKUP($C$6,'Input data'!$C$9:$BB$26,12,FALSE))</f>
        <v>1.1307299999999998</v>
      </c>
      <c r="T63" s="1">
        <f>IF(T$55&lt;=$C$6,0,HLOOKUP(T$55,'Input data'!$C$9:$BB$26,12,FALSE)-HLOOKUP($C$6,'Input data'!$C$9:$BB$26,12,FALSE))</f>
        <v>1.352409999999999</v>
      </c>
      <c r="U63" s="1">
        <f>IF(U$55&lt;=$C$6,0,HLOOKUP(U$55,'Input data'!$C$9:$BB$26,12,FALSE)-HLOOKUP($C$6,'Input data'!$C$9:$BB$26,12,FALSE))</f>
        <v>1.5863799999999983</v>
      </c>
      <c r="V63" s="1">
        <f>IF(V$55&lt;=$C$6,0,HLOOKUP(V$55,'Input data'!$C$9:$BB$26,12,FALSE)-HLOOKUP($C$6,'Input data'!$C$9:$BB$26,12,FALSE))</f>
        <v>1.8337000000000003</v>
      </c>
      <c r="W63" s="1">
        <f>IF(W$55&lt;=$C$6,0,HLOOKUP(W$55,'Input data'!$C$9:$BB$26,12,FALSE)-HLOOKUP($C$6,'Input data'!$C$9:$BB$26,12,FALSE))</f>
        <v>2.1043699999999994</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7.5500000000006118E-4</v>
      </c>
      <c r="L64" s="1">
        <f>IF(L$55&lt;=$C$6,0,-HLOOKUP(L$55,'Input data'!$C$9:$BB$26,18,FALSE)+HLOOKUP($C$6,'Input data'!$C$9:$BB$26,18,FALSE))</f>
        <v>1.5089999999999826E-3</v>
      </c>
      <c r="M64" s="1">
        <f>IF(M$55&lt;=$C$6,0,-HLOOKUP(M$55,'Input data'!$C$9:$BB$26,18,FALSE)+HLOOKUP($C$6,'Input data'!$C$9:$BB$26,18,FALSE))</f>
        <v>2.2640000000000438E-3</v>
      </c>
      <c r="N64" s="1">
        <f>IF(N$55&lt;=$C$6,0,-HLOOKUP(N$55,'Input data'!$C$9:$BB$26,18,FALSE)+HLOOKUP($C$6,'Input data'!$C$9:$BB$26,18,FALSE))</f>
        <v>3.0179999999999652E-3</v>
      </c>
      <c r="O64" s="1">
        <f>IF(O$55&lt;=$C$6,0,-HLOOKUP(O$55,'Input data'!$C$9:$BB$26,18,FALSE)+HLOOKUP($C$6,'Input data'!$C$9:$BB$26,18,FALSE))</f>
        <v>3.7720000000001086E-3</v>
      </c>
      <c r="P64" s="1">
        <f>IF(P$55&lt;=$C$6,0,-HLOOKUP(P$55,'Input data'!$C$9:$BB$26,18,FALSE)+HLOOKUP($C$6,'Input data'!$C$9:$BB$26,18,FALSE))</f>
        <v>4.5269999999999477E-3</v>
      </c>
      <c r="Q64" s="1">
        <f>IF(Q$55&lt;=$C$6,0,-HLOOKUP(Q$55,'Input data'!$C$9:$BB$26,18,FALSE)+HLOOKUP($C$6,'Input data'!$C$9:$BB$26,18,FALSE))</f>
        <v>5.2810000000000912E-3</v>
      </c>
      <c r="R64" s="1">
        <f>IF(R$55&lt;=$C$6,0,-HLOOKUP(R$55,'Input data'!$C$9:$BB$26,18,FALSE)+HLOOKUP($C$6,'Input data'!$C$9:$BB$26,18,FALSE))</f>
        <v>6.0359999999999303E-3</v>
      </c>
      <c r="S64" s="1">
        <f>IF(S$55&lt;=$C$6,0,-HLOOKUP(S$55,'Input data'!$C$9:$BB$26,18,FALSE)+HLOOKUP($C$6,'Input data'!$C$9:$BB$26,18,FALSE))</f>
        <v>6.7900000000000738E-3</v>
      </c>
      <c r="T64" s="1">
        <f>IF(T$55&lt;=$C$6,0,-HLOOKUP(T$55,'Input data'!$C$9:$BB$26,18,FALSE)+HLOOKUP($C$6,'Input data'!$C$9:$BB$26,18,FALSE))</f>
        <v>7.5439999999999952E-3</v>
      </c>
      <c r="U64" s="1">
        <f>IF(U$55&lt;=$C$6,0,-HLOOKUP(U$55,'Input data'!$C$9:$BB$26,18,FALSE)+HLOOKUP($C$6,'Input data'!$C$9:$BB$26,18,FALSE))</f>
        <v>8.2990000000000563E-3</v>
      </c>
      <c r="V64" s="1">
        <f>IF(V$55&lt;=$C$6,0,-HLOOKUP(V$55,'Input data'!$C$9:$BB$26,18,FALSE)+HLOOKUP($C$6,'Input data'!$C$9:$BB$26,18,FALSE))</f>
        <v>9.0529999999999777E-3</v>
      </c>
      <c r="W64" s="1">
        <f>IF(W$55&lt;=$C$6,0,-HLOOKUP(W$55,'Input data'!$C$9:$BB$26,18,FALSE)+HLOOKUP($C$6,'Input data'!$C$9:$BB$26,18,FALSE))</f>
        <v>9.8080000000000389E-3</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-9.5102200000000074</v>
      </c>
      <c r="E66" s="48">
        <f t="shared" si="22"/>
        <v>-4.2729959999999991</v>
      </c>
      <c r="F66" s="48">
        <f t="shared" si="22"/>
        <v>-0.37506469999999642</v>
      </c>
      <c r="G66" s="48">
        <f t="shared" si="22"/>
        <v>-0.48234998760245207</v>
      </c>
      <c r="H66" s="48">
        <f t="shared" si="22"/>
        <v>0.15182018578625112</v>
      </c>
      <c r="I66" s="48">
        <f t="shared" si="22"/>
        <v>0.31901336802165181</v>
      </c>
      <c r="J66" s="48">
        <f t="shared" si="22"/>
        <v>0.44927581488183677</v>
      </c>
      <c r="K66" s="48">
        <f t="shared" si="22"/>
        <v>1.4138739686251789E-2</v>
      </c>
      <c r="L66" s="48">
        <f t="shared" si="22"/>
        <v>0.22470959975152205</v>
      </c>
      <c r="M66" s="48">
        <f t="shared" si="22"/>
        <v>0.52208657134944358</v>
      </c>
      <c r="N66" s="48">
        <f t="shared" si="22"/>
        <v>0.65096349108121654</v>
      </c>
      <c r="O66" s="48">
        <f t="shared" si="22"/>
        <v>0.70057714340059518</v>
      </c>
      <c r="P66" s="48">
        <f t="shared" si="22"/>
        <v>0.77033247359343804</v>
      </c>
      <c r="Q66" s="48">
        <f t="shared" si="22"/>
        <v>0.77970767613694747</v>
      </c>
      <c r="R66" s="48">
        <f t="shared" si="22"/>
        <v>0.78659037200003623</v>
      </c>
      <c r="S66" s="48">
        <f t="shared" si="22"/>
        <v>0.77358476770585072</v>
      </c>
      <c r="T66" s="48">
        <f t="shared" si="22"/>
        <v>0.78693515803498282</v>
      </c>
      <c r="U66" s="48">
        <f t="shared" ref="U66:W66" si="23">SUM(U67:U70)</f>
        <v>0.80048418889033202</v>
      </c>
      <c r="V66" s="48">
        <f t="shared" si="23"/>
        <v>0.80169514605059211</v>
      </c>
      <c r="W66" s="48">
        <f t="shared" si="23"/>
        <v>0.79299532219678492</v>
      </c>
    </row>
    <row r="67" spans="2:23" outlineLevel="1" x14ac:dyDescent="0.2">
      <c r="B67" s="79" t="s">
        <v>115</v>
      </c>
      <c r="C67" s="34"/>
      <c r="D67" s="34">
        <f>C56*D35/100*(1/(1+D32/100))</f>
        <v>2.836285671073747</v>
      </c>
      <c r="E67" s="34">
        <f t="shared" ref="E67:W67" si="24">D56*E35/100*(1/(1+E32/100))</f>
        <v>4.708440058475353</v>
      </c>
      <c r="F67" s="34">
        <f t="shared" si="24"/>
        <v>4.9181599323084875</v>
      </c>
      <c r="G67" s="34">
        <f t="shared" si="24"/>
        <v>4.1678600033081201</v>
      </c>
      <c r="H67" s="34">
        <f t="shared" si="24"/>
        <v>4.2552478337630983</v>
      </c>
      <c r="I67" s="34">
        <f t="shared" si="24"/>
        <v>4.2812736612509488</v>
      </c>
      <c r="J67" s="34">
        <f t="shared" si="24"/>
        <v>4.2648742213239919</v>
      </c>
      <c r="K67" s="34">
        <f t="shared" si="24"/>
        <v>4.1733931026949262</v>
      </c>
      <c r="L67" s="34">
        <f t="shared" si="24"/>
        <v>4.085087212989075</v>
      </c>
      <c r="M67" s="34">
        <f t="shared" si="24"/>
        <v>4.0141315427243836</v>
      </c>
      <c r="N67" s="34">
        <f t="shared" si="24"/>
        <v>3.9471435897226677</v>
      </c>
      <c r="O67" s="34">
        <f t="shared" si="24"/>
        <v>3.8814699793681298</v>
      </c>
      <c r="P67" s="34">
        <f t="shared" si="24"/>
        <v>3.8146303007765643</v>
      </c>
      <c r="Q67" s="34">
        <f t="shared" si="24"/>
        <v>3.7531721111664793</v>
      </c>
      <c r="R67" s="34">
        <f t="shared" si="24"/>
        <v>3.6993530856746371</v>
      </c>
      <c r="S67" s="34">
        <f t="shared" si="24"/>
        <v>3.6538022481920889</v>
      </c>
      <c r="T67" s="34">
        <f t="shared" si="24"/>
        <v>3.618546486963905</v>
      </c>
      <c r="U67" s="34">
        <f t="shared" si="24"/>
        <v>3.5939717860777218</v>
      </c>
      <c r="V67" s="34">
        <f t="shared" si="24"/>
        <v>3.5800387173085726</v>
      </c>
      <c r="W67" s="34">
        <f t="shared" si="24"/>
        <v>3.5768320108554703</v>
      </c>
    </row>
    <row r="68" spans="2:23" outlineLevel="1" x14ac:dyDescent="0.2">
      <c r="B68" s="79" t="s">
        <v>116</v>
      </c>
      <c r="C68" s="34"/>
      <c r="D68" s="34">
        <f t="shared" ref="D68:W68" si="25">-C56*(D23/100)*(1/(1+D32/100))</f>
        <v>-2.9421952723110998</v>
      </c>
      <c r="E68" s="34">
        <f t="shared" si="25"/>
        <v>0.59117021249355406</v>
      </c>
      <c r="F68" s="34">
        <f t="shared" si="25"/>
        <v>-1.6474964224300781</v>
      </c>
      <c r="G68" s="34">
        <f t="shared" si="25"/>
        <v>-1.9385760353964872</v>
      </c>
      <c r="H68" s="34">
        <f t="shared" si="25"/>
        <v>-1.4503125984805385</v>
      </c>
      <c r="I68" s="34">
        <f t="shared" si="25"/>
        <v>-1.3847915507067456</v>
      </c>
      <c r="J68" s="34">
        <f t="shared" si="25"/>
        <v>-1.3280856075960334</v>
      </c>
      <c r="K68" s="34">
        <f t="shared" si="25"/>
        <v>-1.7769421390385538</v>
      </c>
      <c r="L68" s="34">
        <f t="shared" si="25"/>
        <v>-1.5959345825667526</v>
      </c>
      <c r="M68" s="34">
        <f t="shared" si="25"/>
        <v>-1.3322568161312509</v>
      </c>
      <c r="N68" s="34">
        <f t="shared" si="25"/>
        <v>-1.2279532879126716</v>
      </c>
      <c r="O68" s="34">
        <f t="shared" si="25"/>
        <v>-1.196418344046738</v>
      </c>
      <c r="P68" s="34">
        <f t="shared" si="25"/>
        <v>-1.1004509969573404</v>
      </c>
      <c r="Q68" s="34">
        <f t="shared" si="25"/>
        <v>-1.0631101903484246</v>
      </c>
      <c r="R68" s="34">
        <f t="shared" si="25"/>
        <v>-1.0296826695157173</v>
      </c>
      <c r="S68" s="34">
        <f t="shared" si="25"/>
        <v>-1.0175386438709804</v>
      </c>
      <c r="T68" s="34">
        <f t="shared" si="25"/>
        <v>-0.98299109809694618</v>
      </c>
      <c r="U68" s="34">
        <f t="shared" si="25"/>
        <v>-0.95168138309085026</v>
      </c>
      <c r="V68" s="34">
        <f t="shared" si="25"/>
        <v>-0.93579677475522793</v>
      </c>
      <c r="W68" s="34">
        <f t="shared" si="25"/>
        <v>-0.93303762199745588</v>
      </c>
    </row>
    <row r="69" spans="2:23" outlineLevel="1" x14ac:dyDescent="0.2">
      <c r="B69" s="79" t="s">
        <v>117</v>
      </c>
      <c r="C69" s="34"/>
      <c r="D69" s="34">
        <f t="shared" ref="D69:T69" si="26">-C56*D41/100*(1/(1+D41/100))</f>
        <v>-9.5541390828261328</v>
      </c>
      <c r="E69" s="34">
        <f t="shared" si="26"/>
        <v>-9.518747234354338</v>
      </c>
      <c r="F69" s="34">
        <f t="shared" si="26"/>
        <v>-3.7005483331888849</v>
      </c>
      <c r="G69" s="34">
        <f t="shared" si="26"/>
        <v>-2.7195800094546931</v>
      </c>
      <c r="H69" s="34">
        <f t="shared" si="26"/>
        <v>-2.6531150494963089</v>
      </c>
      <c r="I69" s="34">
        <f t="shared" si="26"/>
        <v>-2.5774687425225511</v>
      </c>
      <c r="J69" s="34">
        <f t="shared" si="26"/>
        <v>-2.4875127988461214</v>
      </c>
      <c r="K69" s="34">
        <f t="shared" si="26"/>
        <v>-2.3823122239701204</v>
      </c>
      <c r="L69" s="34">
        <f t="shared" si="26"/>
        <v>-2.2644430306708001</v>
      </c>
      <c r="M69" s="34">
        <f t="shared" si="26"/>
        <v>-2.1597881552436893</v>
      </c>
      <c r="N69" s="34">
        <f t="shared" si="26"/>
        <v>-2.0682268107287793</v>
      </c>
      <c r="O69" s="34">
        <f t="shared" si="26"/>
        <v>-1.9844744919207964</v>
      </c>
      <c r="P69" s="34">
        <f t="shared" si="26"/>
        <v>-1.9438468302257856</v>
      </c>
      <c r="Q69" s="34">
        <f t="shared" si="26"/>
        <v>-1.9103542446811073</v>
      </c>
      <c r="R69" s="34">
        <f t="shared" si="26"/>
        <v>-1.8830800441588835</v>
      </c>
      <c r="S69" s="34">
        <f t="shared" si="26"/>
        <v>-1.8626788366152576</v>
      </c>
      <c r="T69" s="34">
        <f t="shared" si="26"/>
        <v>-1.8486202308319759</v>
      </c>
      <c r="U69" s="34">
        <f t="shared" ref="U69" si="27">-T56*U41/100*(1/(1+U41/100))</f>
        <v>-1.8418062140965394</v>
      </c>
      <c r="V69" s="34">
        <f t="shared" ref="V69" si="28">-U56*V41/100*(1/(1+V41/100))</f>
        <v>-1.8425467965027527</v>
      </c>
      <c r="W69" s="34">
        <f t="shared" ref="W69" si="29">-V56*W41/100*(1/(1+W41/100))</f>
        <v>-1.8507990666612295</v>
      </c>
    </row>
    <row r="70" spans="2:23" outlineLevel="1" x14ac:dyDescent="0.2">
      <c r="B70" s="79" t="s">
        <v>118</v>
      </c>
      <c r="C70" s="49"/>
      <c r="D70" s="49">
        <f>'Baseline NFPC'!D70</f>
        <v>0.14982868406347905</v>
      </c>
      <c r="E70" s="49">
        <f>'Baseline NFPC'!E70</f>
        <v>-5.3859036614568367E-2</v>
      </c>
      <c r="F70" s="49">
        <f>'Baseline NFPC'!F70</f>
        <v>5.4820123310478863E-2</v>
      </c>
      <c r="G70" s="49">
        <f>'Baseline NFPC'!G70</f>
        <v>7.9460539406078778E-3</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3.4867119999999998</v>
      </c>
      <c r="E71" s="50">
        <f>'Input data'!E16</f>
        <v>1.75285</v>
      </c>
      <c r="F71" s="50">
        <f>'Input data'!F16</f>
        <v>0.62550260000000002</v>
      </c>
      <c r="G71" s="50">
        <f>'Input data'!G16</f>
        <v>0.3284956</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0">D14</f>
        <v>9.56404E-2</v>
      </c>
      <c r="E72" s="34">
        <f t="shared" si="30"/>
        <v>2.4978720000000001</v>
      </c>
      <c r="F72" s="34">
        <f t="shared" si="30"/>
        <v>-0.13437760000000001</v>
      </c>
      <c r="G72" s="34">
        <f t="shared" si="30"/>
        <v>0.1957401</v>
      </c>
      <c r="H72" s="34">
        <f t="shared" si="30"/>
        <v>0</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9" t="s">
        <v>121</v>
      </c>
      <c r="C73" s="49"/>
      <c r="D73" s="49">
        <f t="shared" ref="D73:T73" si="31">+D71-D72</f>
        <v>3.3910715999999996</v>
      </c>
      <c r="E73" s="49">
        <f t="shared" si="31"/>
        <v>-0.74502200000000007</v>
      </c>
      <c r="F73" s="49">
        <f t="shared" si="31"/>
        <v>0.75988020000000001</v>
      </c>
      <c r="G73" s="49">
        <f t="shared" si="31"/>
        <v>0.1327555</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187</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0</v>
      </c>
      <c r="Q75" s="51">
        <f t="shared" si="33"/>
        <v>0</v>
      </c>
      <c r="R75" s="51">
        <f t="shared" si="33"/>
        <v>0</v>
      </c>
      <c r="S75" s="51">
        <f t="shared" si="33"/>
        <v>0</v>
      </c>
      <c r="T75" s="51">
        <f t="shared" si="33"/>
        <v>0</v>
      </c>
      <c r="U75" s="51">
        <f t="shared" si="33"/>
        <v>1</v>
      </c>
      <c r="V75" s="51">
        <f t="shared" si="33"/>
        <v>1</v>
      </c>
      <c r="W75" s="51">
        <f t="shared" si="33"/>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1</v>
      </c>
      <c r="F79" s="29">
        <f t="shared" ref="F79" si="35">IF((F83-E83*F42/((1+F23/100)*(1+F41/100)))&gt;0,1,0)</f>
        <v>1</v>
      </c>
      <c r="G79" s="29">
        <f t="shared" ref="G79:W79" si="36">IF((G83-F83*G42/((1+G23/100)*(1+G41/100)))&gt;0,1,0)</f>
        <v>1</v>
      </c>
      <c r="H79" s="29">
        <f t="shared" si="36"/>
        <v>1</v>
      </c>
      <c r="I79" s="29">
        <f t="shared" si="36"/>
        <v>1</v>
      </c>
      <c r="J79" s="29">
        <f t="shared" si="36"/>
        <v>1</v>
      </c>
      <c r="K79" s="29">
        <f t="shared" si="36"/>
        <v>1</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126</v>
      </c>
      <c r="E80" s="29">
        <f t="shared" ref="E80" si="37">IF(AND(E79=0,ABS(E83-D83*E42/((1+E23/100)*(1+E41/100)))&lt;((D89*D83*E42/((1+E23/100)*(1+E41/100))+(E38*D83*D90*E42/((1+E23/100)*(1+E41/100)))))),1,0)</f>
        <v>0</v>
      </c>
      <c r="F80" s="29">
        <f t="shared" ref="F80" si="38">IF(AND(F79=0,ABS(F83-E83*F42/((1+F23/100)*(1+F41/100)))&lt;((E89*E83*F42/((1+F23/100)*(1+F41/100))+(F38*E83*E90*F42/((1+F23/100)*(1+F41/100)))))),1,0)</f>
        <v>0</v>
      </c>
      <c r="G80" s="29">
        <f t="shared" ref="G80:W80" si="39">IF(AND(G79=0,ABS(G83-F83*G42/((1+G23/100)*(1+G41/100)))&lt;((F89*F83*G42/((1+G23/100)*(1+G41/100))+(G38*F83*F90*G42/((1+G23/100)*(1+G41/100)))))),1,0)</f>
        <v>0</v>
      </c>
      <c r="H80" s="29">
        <f t="shared" si="39"/>
        <v>0</v>
      </c>
      <c r="I80" s="29">
        <f t="shared" si="39"/>
        <v>0</v>
      </c>
      <c r="J80" s="29">
        <f t="shared" si="39"/>
        <v>0</v>
      </c>
      <c r="K80" s="29">
        <f t="shared" si="39"/>
        <v>0</v>
      </c>
      <c r="L80" s="29">
        <f t="shared" si="39"/>
        <v>0</v>
      </c>
      <c r="M80" s="29">
        <f t="shared" si="39"/>
        <v>0</v>
      </c>
      <c r="N80" s="29">
        <f t="shared" si="39"/>
        <v>0</v>
      </c>
      <c r="O80" s="29">
        <f t="shared" si="39"/>
        <v>0</v>
      </c>
      <c r="P80" s="29">
        <f t="shared" si="39"/>
        <v>0</v>
      </c>
      <c r="Q80" s="29">
        <f t="shared" si="39"/>
        <v>0</v>
      </c>
      <c r="R80" s="29">
        <f t="shared" si="39"/>
        <v>0</v>
      </c>
      <c r="S80" s="29">
        <f t="shared" si="39"/>
        <v>0</v>
      </c>
      <c r="T80" s="29">
        <f t="shared" si="39"/>
        <v>0</v>
      </c>
      <c r="U80" s="29">
        <f t="shared" si="39"/>
        <v>0</v>
      </c>
      <c r="V80" s="29">
        <f t="shared" si="39"/>
        <v>0</v>
      </c>
      <c r="W80" s="29">
        <f t="shared" si="39"/>
        <v>0</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76.688640000000007</v>
      </c>
      <c r="D83" s="110">
        <f>D56</f>
        <v>74.056958506530151</v>
      </c>
      <c r="E83" s="110">
        <f>E56</f>
        <v>73.520357526734585</v>
      </c>
      <c r="F83" s="110">
        <f>F56</f>
        <v>74.287964673525892</v>
      </c>
      <c r="G83" s="110">
        <f>G56</f>
        <v>73.854222000134087</v>
      </c>
      <c r="H83" s="110">
        <f>G83*(1+H97/100)*H42-H59-H60+H61+H62+H63+H64+H65+H71</f>
        <v>73.145093744834043</v>
      </c>
      <c r="I83" s="110">
        <f t="shared" ref="I83:S83" si="40">H83*(1+I97/100)*I42-I59-I60+I61+I62+I63+I64+I65+I71</f>
        <v>71.995695653916627</v>
      </c>
      <c r="J83" s="110">
        <f t="shared" si="40"/>
        <v>70.351529341469316</v>
      </c>
      <c r="K83" s="110">
        <f t="shared" si="40"/>
        <v>68.259327261549132</v>
      </c>
      <c r="L83" s="110">
        <f t="shared" si="40"/>
        <v>66.487184626560463</v>
      </c>
      <c r="M83" s="110">
        <f t="shared" si="40"/>
        <v>65.0519758080831</v>
      </c>
      <c r="N83" s="110">
        <f t="shared" si="40"/>
        <v>63.806109754250919</v>
      </c>
      <c r="O83" s="110">
        <f t="shared" si="40"/>
        <v>62.69855319765152</v>
      </c>
      <c r="P83" s="110">
        <f t="shared" si="40"/>
        <v>61.81484608165534</v>
      </c>
      <c r="Q83" s="110">
        <f t="shared" si="40"/>
        <v>61.127379058124106</v>
      </c>
      <c r="R83" s="110">
        <f t="shared" si="40"/>
        <v>60.659359285329224</v>
      </c>
      <c r="S83" s="110">
        <f t="shared" si="40"/>
        <v>60.395579243721208</v>
      </c>
      <c r="T83" s="110">
        <f>S83*(1+T97/100)*T42-T59-T60+T61+T62+T63+T64+T65+T71</f>
        <v>60.36758359244233</v>
      </c>
      <c r="U83" s="110">
        <f>T83*(1+U97/100)*U42-U59-U60+U61+U62+U63+U64+U65+U71</f>
        <v>60.58786152638497</v>
      </c>
      <c r="V83" s="110">
        <f t="shared" ref="V83:W83" si="41">U83*(1+V97/100)*V42-V59-V60+V61+V62+V63+V64+V65+V71</f>
        <v>61.057423080136346</v>
      </c>
      <c r="W83" s="110">
        <f t="shared" si="41"/>
        <v>61.789709364172715</v>
      </c>
    </row>
    <row r="84" spans="2:24" x14ac:dyDescent="0.2">
      <c r="B84" s="26" t="s">
        <v>127</v>
      </c>
      <c r="C84" s="34"/>
      <c r="D84" s="254">
        <f>'Input data'!C66*$D$83</f>
        <v>59.783430721748871</v>
      </c>
      <c r="E84" s="34">
        <f t="shared" ref="E84" si="42">IF(E83=0,0,IF(E79=1,D83*E42/((1+E23/100)*(1+E41/100))-E85-E86,IF(AND(E79=0,E80=1),(1-D89-E38*D90)*D83*E42/((1+E23/100)*(1+E41/100)),E83)))</f>
        <v>57.543983859764516</v>
      </c>
      <c r="F84" s="34">
        <f t="shared" ref="F84" si="43">IF(F83=0,0,IF(F79=1,E83*F42/((1+F23/100)*(1+F41/100))-F85-F86,IF(AND(F79=0,F80=1),(1-E89-F38*E90)*E83*F42/((1+F23/100)*(1+F41/100)),F83)))</f>
        <v>60.461160881524357</v>
      </c>
      <c r="G84" s="34">
        <f>IF(G83=0,0,IF(G79=1,F83*G42/((1+G23/100)*(1+G41/100))-G85-G86,IF(AND(G79=0,G80=1),(1-F89-G38*F90)*F83*G42/((1+G23/100)*(1+G41/100)),G83)))</f>
        <v>61.088794442536802</v>
      </c>
      <c r="H84" s="34">
        <f t="shared" ref="H84:W84" si="44">IF(H83=0,0,IF(H79=1,G83*H42/((1+H23/100)*(1+H41/100))-H85-H86,IF(AND(H79=0,H80=1),(1-G89-H38*G90)*G83*H42/((1+H23/100)*(1+H41/100)),H83)))</f>
        <v>60.983492914591722</v>
      </c>
      <c r="I84" s="34">
        <f t="shared" si="44"/>
        <v>60.396800799453061</v>
      </c>
      <c r="J84" s="34">
        <f t="shared" si="44"/>
        <v>59.435195481754349</v>
      </c>
      <c r="K84" s="34">
        <f t="shared" si="44"/>
        <v>57.62110246636135</v>
      </c>
      <c r="L84" s="34">
        <f t="shared" si="44"/>
        <v>55.981348339211522</v>
      </c>
      <c r="M84" s="34">
        <f t="shared" si="44"/>
        <v>54.684078001792763</v>
      </c>
      <c r="N84" s="34">
        <f t="shared" si="44"/>
        <v>53.532992220918679</v>
      </c>
      <c r="O84" s="34">
        <f t="shared" si="44"/>
        <v>52.479197650526906</v>
      </c>
      <c r="P84" s="34">
        <f t="shared" si="44"/>
        <v>51.632393138216365</v>
      </c>
      <c r="Q84" s="34">
        <f t="shared" si="44"/>
        <v>50.922469532091831</v>
      </c>
      <c r="R84" s="34">
        <f t="shared" si="44"/>
        <v>50.373558586483576</v>
      </c>
      <c r="S84" s="34">
        <f t="shared" si="44"/>
        <v>49.990050474154756</v>
      </c>
      <c r="T84" s="34">
        <f t="shared" si="44"/>
        <v>49.797009580844922</v>
      </c>
      <c r="U84" s="34">
        <f t="shared" si="44"/>
        <v>49.798719760437869</v>
      </c>
      <c r="V84" s="34">
        <f t="shared" si="44"/>
        <v>49.995116975163342</v>
      </c>
      <c r="W84" s="34">
        <f t="shared" si="44"/>
        <v>50.389047746403541</v>
      </c>
      <c r="X84" s="34"/>
    </row>
    <row r="85" spans="2:24" x14ac:dyDescent="0.2">
      <c r="B85" s="105" t="s">
        <v>128</v>
      </c>
      <c r="C85" s="34"/>
      <c r="D85" s="254">
        <f>'Input data'!C67*$D$83</f>
        <v>3.8296324056498472</v>
      </c>
      <c r="E85" s="34">
        <f t="shared" ref="E85" si="45">IF(E83=0,0,IF(E79=1,E38*D83*D90*E42/((1+E23/100)*(1+E41/100)),IF(AND(E79=0,E80=1),(E38*D83*D90*E42/((1+E23/100)*(1+E41/100)))*(1-ABS(E83-D83*E42/((1+E23/100)*(1+E41/100)))/((E38*D83*D90*E42/((1+E23/100)*(1+E41/100)))+(D89*D83*E42/((1+E23/100)*(1+E41/100))))),0)))</f>
        <v>3.0580010029883011</v>
      </c>
      <c r="F85" s="34">
        <f t="shared" ref="F85" si="46">IF(F83=0,0,IF(F79=1,F38*E83*E90*F42/((1+F23/100)*(1+F41/100)),IF(AND(F79=0,F80=1),(F38*E83*E90*F42/((1+F23/100)*(1+F41/100)))*(1-ABS(F83-E83*F42/((1+F23/100)*(1+F41/100)))/((F38*E83*E90*F42/((1+F23/100)*(1+F41/100)))+(E89*E83*F42/((1+F23/100)*(1+F41/100))))),0)))</f>
        <v>4.3719460048068246</v>
      </c>
      <c r="G85" s="34">
        <f t="shared" ref="G85" si="47">IF(G83=0,0,IF(G79=1,G38*F83*F90*G42/((1+G23/100)*(1+G41/100)),IF(AND(G79=0,G80=1),(G38*F83*F90*G42/((1+G23/100)*(1+G41/100)))*(1-ABS(G83-F83*G42/((1+G23/100)*(1+G41/100)))/((G38*F83*F90*G42/((1+G23/100)*(1+G41/100)))+(F89*F83*G42/((1+G23/100)*(1+G41/100))))),0)))</f>
        <v>4.5004929839320518</v>
      </c>
      <c r="H85" s="34">
        <f t="shared" ref="H85:W85" si="48">IF(H83=0,0,IF(H79=1,H38*G83*G90*H42/((1+H23/100)*(1+H41/100)),IF(AND(H79=0,H80=1),(H38*G83*G90*H42/((1+H23/100)*(1+H41/100)))*(1-ABS(H83-G83*H42/((1+H23/100)*(1+H41/100)))/((H38*G83*G90*H42/((1+H23/100)*(1+H41/100)))+(G89*G83*H42/((1+H23/100)*(1+H41/100))))),0)))</f>
        <v>4.5759657916840011</v>
      </c>
      <c r="I85" s="34">
        <f t="shared" si="48"/>
        <v>4.6145823022394827</v>
      </c>
      <c r="J85" s="34">
        <f t="shared" si="48"/>
        <v>4.6226425646089</v>
      </c>
      <c r="K85" s="34">
        <f t="shared" si="48"/>
        <v>4.5607937018053306</v>
      </c>
      <c r="L85" s="34">
        <f t="shared" si="48"/>
        <v>4.5081907856641523</v>
      </c>
      <c r="M85" s="34">
        <f t="shared" si="48"/>
        <v>4.4793115647583051</v>
      </c>
      <c r="N85" s="34">
        <f t="shared" si="48"/>
        <v>4.4592118834203918</v>
      </c>
      <c r="O85" s="34">
        <f t="shared" si="48"/>
        <v>4.4443473284190391</v>
      </c>
      <c r="P85" s="34">
        <f t="shared" si="48"/>
        <v>4.3726333247667224</v>
      </c>
      <c r="Q85" s="34">
        <f t="shared" si="48"/>
        <v>4.3125114627048795</v>
      </c>
      <c r="R85" s="34">
        <f t="shared" si="48"/>
        <v>4.2660254072034283</v>
      </c>
      <c r="S85" s="34">
        <f t="shared" si="48"/>
        <v>4.2335469522962859</v>
      </c>
      <c r="T85" s="34">
        <f t="shared" si="48"/>
        <v>4.2171987454473472</v>
      </c>
      <c r="U85" s="34">
        <f t="shared" si="48"/>
        <v>4.2173435767794807</v>
      </c>
      <c r="V85" s="34">
        <f t="shared" si="48"/>
        <v>4.2339760230753765</v>
      </c>
      <c r="W85" s="34">
        <f t="shared" si="48"/>
        <v>4.2673371499432493</v>
      </c>
    </row>
    <row r="86" spans="2:24" x14ac:dyDescent="0.2">
      <c r="B86" s="105" t="s">
        <v>129</v>
      </c>
      <c r="C86" s="34"/>
      <c r="D86" s="254">
        <f>'Input data'!C68*$D$83</f>
        <v>3.9703023838181895</v>
      </c>
      <c r="E86" s="34">
        <f t="shared" ref="E86" si="49">IF(E83=0,0,IF(E79=1,(1-D90)*D83*E42/((1+E23/100)*(1+E41/100)),IF(AND(E79=0,E80=1),(D89*D83*E42/((1+E23/100)*(1+E41/100)))*(1-ABS(E83-D83*E42/((1+E23/100)*(1+E41/100)))/((E38*D83*D90*E42/((1+E23/100)*(1+E41/100)))+(D89*D83*E42/((1+E23/100)*(1+E41/100))))),0)))</f>
        <v>3.782375114175264</v>
      </c>
      <c r="F86" s="34">
        <f t="shared" ref="F86" si="50">IF(F83=0,0,IF(F79=1,(1-E90)*E83*F42/((1+F23/100)*(1+F41/100)),IF(AND(F79=0,F80=1),(E89*E83*F42/((1+F23/100)*(1+F41/100)))*(1-ABS(F83-E83*F42/((1+F23/100)*(1+F41/100)))/((F38*E83*E90*F42/((1+F23/100)*(1+F41/100)))+(E89*E83*F42/((1+F23/100)*(1+F41/100))))),0)))</f>
        <v>4.0990544829312858</v>
      </c>
      <c r="G86" s="34">
        <f t="shared" ref="G86" si="51">IF(G83=0,0,IF(G79=1,(1-F90)*F83*G42/((1+G23/100)*(1+G41/100)),IF(AND(G79=0,G80=1),(F89*F83*G42/((1+G23/100)*(1+G41/100)))*(1-ABS(G83-F83*G42/((1+G23/100)*(1+G41/100)))/((G38*F83*F90*G42/((1+G23/100)*(1+G41/100)))+(F89*F83*G42/((1+G23/100)*(1+G41/100))))),0)))</f>
        <v>4.1739319155383994</v>
      </c>
      <c r="H86" s="34">
        <f t="shared" ref="H86:W86" si="52">IF(H83=0,0,IF(H79=1,(1-G90)*G83*H42/((1+H23/100)*(1+H41/100)),IF(AND(H79=0,H80=1),(G89*G83*H42/((1+H23/100)*(1+H41/100)))*(1-ABS(H83-G83*H42/((1+H23/100)*(1+H41/100)))/((H38*G83*G90*H42/((1+H23/100)*(1+H41/100)))+(G89*G83*H42/((1+H23/100)*(1+H41/100))))),0)))</f>
        <v>4.1913356458815203</v>
      </c>
      <c r="I86" s="34">
        <f t="shared" si="52"/>
        <v>4.1714503499122033</v>
      </c>
      <c r="J86" s="34">
        <f t="shared" si="52"/>
        <v>4.1222592011112278</v>
      </c>
      <c r="K86" s="34">
        <f t="shared" si="52"/>
        <v>4.0103788102939673</v>
      </c>
      <c r="L86" s="34">
        <f t="shared" si="52"/>
        <v>3.9094105234358936</v>
      </c>
      <c r="M86" s="34">
        <f t="shared" si="52"/>
        <v>3.8317500886344518</v>
      </c>
      <c r="N86" s="34">
        <f t="shared" si="52"/>
        <v>3.763591605102572</v>
      </c>
      <c r="O86" s="34">
        <f t="shared" si="52"/>
        <v>3.7016719393374276</v>
      </c>
      <c r="P86" s="34">
        <f t="shared" si="52"/>
        <v>3.6492289074853113</v>
      </c>
      <c r="Q86" s="34">
        <f t="shared" si="52"/>
        <v>3.606400651829095</v>
      </c>
      <c r="R86" s="34">
        <f t="shared" si="52"/>
        <v>3.5750323507624966</v>
      </c>
      <c r="S86" s="34">
        <f t="shared" si="52"/>
        <v>3.5555443783919443</v>
      </c>
      <c r="T86" s="34">
        <f t="shared" si="52"/>
        <v>3.5497595885000157</v>
      </c>
      <c r="U86" s="34">
        <f t="shared" si="52"/>
        <v>3.5580326580375798</v>
      </c>
      <c r="V86" s="34">
        <f t="shared" si="52"/>
        <v>3.5804249568882667</v>
      </c>
      <c r="W86" s="34">
        <f t="shared" si="52"/>
        <v>3.6172014951308578</v>
      </c>
    </row>
    <row r="87" spans="2:24" x14ac:dyDescent="0.2">
      <c r="B87" s="105" t="s">
        <v>130</v>
      </c>
      <c r="C87" s="34"/>
      <c r="D87" s="254">
        <f>'Input data'!C69*$D$83</f>
        <v>6.0932860543359997</v>
      </c>
      <c r="E87" s="34">
        <f>IF(E83=0,0,IF(E79=1,'Input data'!$C$58*(E83-D83*E42/((1+E23/100)*(1+E41/100))),0))</f>
        <v>8.5464808631096503</v>
      </c>
      <c r="F87" s="34">
        <f>IF(F83=0,0,IF(F79=1,'Input data'!$C$58*(F83-E83*F42/((1+F23/100)*(1+F41/100))),0))</f>
        <v>5.0102104556098732</v>
      </c>
      <c r="G87" s="34">
        <f>IF(G83=0,0,IF(G79=1,'Input data'!$C$58*(G83-F83*G42/((1+G23/100)*(1+G41/100))),0))</f>
        <v>3.8270233478064206</v>
      </c>
      <c r="H87" s="34">
        <f>IF(H83=0,0,IF(H79=1,'Input data'!$C$58*(H83-G83*H42/((1+H23/100)*(1+H41/100))),0))</f>
        <v>3.1752761146254223</v>
      </c>
      <c r="I87" s="34">
        <f>IF(I83=0,0,IF(I79=1,'Input data'!$C$58*(I83-H83*I42/((1+I23/100)*(1+I41/100))),0))</f>
        <v>2.6313572055557386</v>
      </c>
      <c r="J87" s="34">
        <f>IF(J83=0,0,IF(J79=1,'Input data'!$C$58*(J83-I83*J42/((1+J23/100)*(1+J41/100))),0))</f>
        <v>2.0313165295520519</v>
      </c>
      <c r="K87" s="34">
        <f>IF(K83=0,0,IF(K79=1,'Input data'!$C$58*(K83-J83*K42/((1+K23/100)*(1+K41/100))),0))</f>
        <v>1.9336720138280923</v>
      </c>
      <c r="L87" s="34">
        <f>IF(L83=0,0,IF(L79=1,'Input data'!$C$58*(L83-K83*L42/((1+L23/100)*(1+L41/100))),0))</f>
        <v>1.953487857454421</v>
      </c>
      <c r="M87" s="34">
        <f>IF(M83=0,0,IF(M79=1,'Input data'!$C$58*(M83-L83*M42/((1+M23/100)*(1+M41/100))),0))</f>
        <v>1.9241150978267898</v>
      </c>
      <c r="N87" s="34">
        <f>IF(N83=0,0,IF(N79=1,'Input data'!$C$58*(N83-M83*N42/((1+N23/100)*(1+N41/100))),0))</f>
        <v>1.9180138405026772</v>
      </c>
      <c r="O87" s="34">
        <f>IF(O83=0,0,IF(O79=1,'Input data'!$C$58*(O83-N83*O42/((1+O23/100)*(1+O41/100))),0))</f>
        <v>1.93955052393661</v>
      </c>
      <c r="P87" s="34">
        <f>IF(P83=0,0,IF(P79=1,'Input data'!$C$58*(P83-O83*P42/((1+P23/100)*(1+P41/100))),0))</f>
        <v>2.0211747064843237</v>
      </c>
      <c r="Q87" s="34">
        <f>IF(Q83=0,0,IF(Q79=1,'Input data'!$C$58*(Q83-P83*Q42/((1+Q23/100)*(1+Q41/100))),0))</f>
        <v>2.1384893137260317</v>
      </c>
      <c r="R87" s="34">
        <f>IF(R83=0,0,IF(R79=1,'Input data'!$C$58*(R83-Q83*R42/((1+R23/100)*(1+R41/100))),0))</f>
        <v>2.286991502082163</v>
      </c>
      <c r="S87" s="34">
        <f>IF(S83=0,0,IF(S79=1,'Input data'!$C$58*(S83-R83*S42/((1+S23/100)*(1+S41/100))),0))</f>
        <v>2.4476071035472149</v>
      </c>
      <c r="T87" s="34">
        <f>IF(T83=0,0,IF(T79=1,'Input data'!$C$58*(T83-S83*T42/((1+T23/100)*(1+T41/100))),0))</f>
        <v>2.6227073295414547</v>
      </c>
      <c r="U87" s="34">
        <f>IF(U83=0,0,IF(U79=1,'Input data'!$C$58*(U83-T83*U42/((1+U23/100)*(1+U41/100))),0))</f>
        <v>2.8192968854559188</v>
      </c>
      <c r="V87" s="34">
        <f>IF(V83=0,0,IF(V79=1,'Input data'!$C$58*(V83-U83*V42/((1+V23/100)*(1+V41/100))),0))</f>
        <v>3.0383282005889063</v>
      </c>
      <c r="W87" s="34">
        <f>IF(W83=0,0,IF(W79=1,'Input data'!$C$58*(W83-V83*W42/((1+W23/100)*(1+W41/100))),0))</f>
        <v>3.2892388088605653</v>
      </c>
    </row>
    <row r="88" spans="2:24" x14ac:dyDescent="0.2">
      <c r="B88" s="107" t="s">
        <v>131</v>
      </c>
      <c r="C88" s="49"/>
      <c r="D88" s="255">
        <f>'Input data'!C70*$D$83</f>
        <v>0.38030214097798126</v>
      </c>
      <c r="E88" s="49">
        <f>IF(E83=0,0,IF(E79=1,'Input data'!$C$57*(E83-D83*E42/((1+E23/100)*(1+E41/100))),0))</f>
        <v>0.58951668669685431</v>
      </c>
      <c r="F88" s="49">
        <f>IF(F83=0,0,IF(F79=1,'Input data'!$C$57*(F83-E83*F42/((1+F23/100)*(1+F41/100))),0))</f>
        <v>0.34559284865354467</v>
      </c>
      <c r="G88" s="49">
        <f>IF(G83=0,0,IF(G79=1,'Input data'!$C$57*(G83-F83*G42/((1+G23/100)*(1+G41/100))),0))</f>
        <v>0.26397931032041894</v>
      </c>
      <c r="H88" s="49">
        <f>IF(H83=0,0,IF(H79=1,'Input data'!$C$57*(H83-G83*H42/((1+H23/100)*(1+H41/100))),0))</f>
        <v>0.21902327805137731</v>
      </c>
      <c r="I88" s="49">
        <f>IF(I83=0,0,IF(I79=1,'Input data'!$C$57*(I83-H83*I42/((1+I23/100)*(1+I41/100))),0))</f>
        <v>0.18150499675613799</v>
      </c>
      <c r="J88" s="49">
        <f>IF(J83=0,0,IF(J79=1,'Input data'!$C$57*(J83-I83*J42/((1+J23/100)*(1+J41/100))),0))</f>
        <v>0.14011556444278611</v>
      </c>
      <c r="K88" s="49">
        <f>IF(K83=0,0,IF(K79=1,'Input data'!$C$57*(K83-J83*K42/((1+K23/100)*(1+K41/100))),0))</f>
        <v>0.13338026926039412</v>
      </c>
      <c r="L88" s="49">
        <f>IF(L83=0,0,IF(L79=1,'Input data'!$C$57*(L83-K83*L42/((1+L23/100)*(1+L41/100))),0))</f>
        <v>0.13474712079447057</v>
      </c>
      <c r="M88" s="49">
        <f>IF(M83=0,0,IF(M79=1,'Input data'!$C$57*(M83-L83*M42/((1+M23/100)*(1+M41/100))),0))</f>
        <v>0.13272105507079165</v>
      </c>
      <c r="N88" s="49">
        <f>IF(N83=0,0,IF(N79=1,'Input data'!$C$57*(N83-M83*N42/((1+N23/100)*(1+N41/100))),0))</f>
        <v>0.13230020430659922</v>
      </c>
      <c r="O88" s="49">
        <f>IF(O83=0,0,IF(O79=1,'Input data'!$C$57*(O83-N83*O42/((1+O23/100)*(1+O41/100))),0))</f>
        <v>0.13378575543153223</v>
      </c>
      <c r="P88" s="49">
        <f>IF(P83=0,0,IF(P79=1,'Input data'!$C$57*(P83-O83*P42/((1+P23/100)*(1+P41/100))),0))</f>
        <v>0.13941600470261753</v>
      </c>
      <c r="Q88" s="49">
        <f>IF(Q83=0,0,IF(Q79=1,'Input data'!$C$57*(Q83-P83*Q42/((1+Q23/100)*(1+Q41/100))),0))</f>
        <v>0.14750809777226853</v>
      </c>
      <c r="R88" s="49">
        <f>IF(R83=0,0,IF(R79=1,'Input data'!$C$57*(R83-Q83*R42/((1+R23/100)*(1+R41/100))),0))</f>
        <v>0.15775143879755754</v>
      </c>
      <c r="S88" s="49">
        <f>IF(S83=0,0,IF(S79=1,'Input data'!$C$57*(S83-R83*S42/((1+S23/100)*(1+S41/100))),0))</f>
        <v>0.16883033533100725</v>
      </c>
      <c r="T88" s="49">
        <f>IF(T83=0,0,IF(T79=1,'Input data'!$C$57*(T83-S83*T42/((1+T23/100)*(1+T41/100))),0))</f>
        <v>0.1809083481085888</v>
      </c>
      <c r="U88" s="49">
        <f>IF(U83=0,0,IF(U79=1,'Input data'!$C$57*(U83-T83*U42/((1+U23/100)*(1+U41/100))),0))</f>
        <v>0.19446864567412189</v>
      </c>
      <c r="V88" s="49">
        <f>IF(V83=0,0,IF(V79=1,'Input data'!$C$57*(V83-U83*V42/((1+V23/100)*(1+V41/100))),0))</f>
        <v>0.20957692442045397</v>
      </c>
      <c r="W88" s="49">
        <f>IF(W83=0,0,IF(W79=1,'Input data'!$C$57*(W83-V83*W42/((1+W23/100)*(1+W41/100))),0))</f>
        <v>0.22688416383449991</v>
      </c>
    </row>
    <row r="89" spans="2:24" x14ac:dyDescent="0.2">
      <c r="B89" s="26" t="s">
        <v>73</v>
      </c>
      <c r="C89" s="34"/>
      <c r="D89" s="260">
        <f>'Baseline NFPC'!$D$93</f>
        <v>5.8746799929838001E-2</v>
      </c>
      <c r="E89" s="34">
        <f t="shared" ref="E89:G89" si="53">IF(E83&lt;&gt;0,(E86+E88)/(E84+E85+E86+E87+E88),0)</f>
        <v>5.9465050877674869E-2</v>
      </c>
      <c r="F89" s="34">
        <f t="shared" si="53"/>
        <v>5.9829978531755049E-2</v>
      </c>
      <c r="G89" s="34">
        <f t="shared" si="53"/>
        <v>6.009014929235542E-2</v>
      </c>
      <c r="H89" s="34">
        <f t="shared" ref="H89:W89" si="54">IF(H83&lt;&gt;0,(H86+H88)/(H84+H85+H86+H87+H88),0)</f>
        <v>6.0296032148354238E-2</v>
      </c>
      <c r="I89" s="34">
        <f t="shared" si="54"/>
        <v>6.0461327682602053E-2</v>
      </c>
      <c r="J89" s="34">
        <f t="shared" si="54"/>
        <v>6.05868103430343E-2</v>
      </c>
      <c r="K89" s="34">
        <f t="shared" si="54"/>
        <v>6.0706122456741007E-2</v>
      </c>
      <c r="L89" s="34">
        <f t="shared" si="54"/>
        <v>6.0826122612128088E-2</v>
      </c>
      <c r="M89" s="34">
        <f t="shared" si="54"/>
        <v>6.0943131925789006E-2</v>
      </c>
      <c r="N89" s="34">
        <f t="shared" si="54"/>
        <v>6.1058287747273565E-2</v>
      </c>
      <c r="O89" s="34">
        <f t="shared" si="54"/>
        <v>6.1172985645745699E-2</v>
      </c>
      <c r="P89" s="34">
        <f t="shared" si="54"/>
        <v>6.1290210238221024E-2</v>
      </c>
      <c r="Q89" s="34">
        <f t="shared" si="54"/>
        <v>6.1411249875966203E-2</v>
      </c>
      <c r="R89" s="34">
        <f t="shared" si="54"/>
        <v>6.1536815316525231E-2</v>
      </c>
      <c r="S89" s="34">
        <f t="shared" si="54"/>
        <v>6.1666346450516767E-2</v>
      </c>
      <c r="T89" s="34">
        <f t="shared" si="54"/>
        <v>6.1799192788555848E-2</v>
      </c>
      <c r="U89" s="34">
        <f t="shared" si="54"/>
        <v>6.1934869612084789E-2</v>
      </c>
      <c r="V89" s="34">
        <f t="shared" si="54"/>
        <v>6.2072745460194707E-2</v>
      </c>
      <c r="W89" s="34">
        <f t="shared" si="54"/>
        <v>6.2212392622035192E-2</v>
      </c>
    </row>
    <row r="90" spans="2:24" x14ac:dyDescent="0.2">
      <c r="B90" s="35" t="s">
        <v>74</v>
      </c>
      <c r="C90" s="49"/>
      <c r="D90" s="261">
        <f>'Baseline NFPC'!$D$94</f>
        <v>0.941253200070162</v>
      </c>
      <c r="E90" s="49">
        <f t="shared" ref="E90:G90" si="55">IF(E83&lt;&gt;0,(E84+E85+E87)/(E84+E85+E86+E87+E88),1)</f>
        <v>0.94053494912232516</v>
      </c>
      <c r="F90" s="49">
        <f t="shared" si="55"/>
        <v>0.94017002146824513</v>
      </c>
      <c r="G90" s="49">
        <f t="shared" si="55"/>
        <v>0.93990985070764443</v>
      </c>
      <c r="H90" s="49">
        <f t="shared" ref="H90:W90" si="56">IF(H83&lt;&gt;0,(H84+H85+H87)/(H84+H85+H86+H87+H88),1)</f>
        <v>0.93970396785164567</v>
      </c>
      <c r="I90" s="49">
        <f t="shared" si="56"/>
        <v>0.93953867231739796</v>
      </c>
      <c r="J90" s="49">
        <f t="shared" si="56"/>
        <v>0.93941318965696574</v>
      </c>
      <c r="K90" s="49">
        <f t="shared" si="56"/>
        <v>0.9392938775432591</v>
      </c>
      <c r="L90" s="49">
        <f t="shared" si="56"/>
        <v>0.93917387738787184</v>
      </c>
      <c r="M90" s="49">
        <f t="shared" si="56"/>
        <v>0.93905686807421107</v>
      </c>
      <c r="N90" s="49">
        <f t="shared" si="56"/>
        <v>0.93894171225272638</v>
      </c>
      <c r="O90" s="49">
        <f t="shared" si="56"/>
        <v>0.93882701435425431</v>
      </c>
      <c r="P90" s="49">
        <f t="shared" si="56"/>
        <v>0.93870978976177899</v>
      </c>
      <c r="Q90" s="49">
        <f t="shared" si="56"/>
        <v>0.93858875012403375</v>
      </c>
      <c r="R90" s="49">
        <f t="shared" si="56"/>
        <v>0.93846318468347478</v>
      </c>
      <c r="S90" s="49">
        <f t="shared" si="56"/>
        <v>0.93833365354948317</v>
      </c>
      <c r="T90" s="49">
        <f t="shared" si="56"/>
        <v>0.93820080721144417</v>
      </c>
      <c r="U90" s="49">
        <f t="shared" si="56"/>
        <v>0.93806513038791517</v>
      </c>
      <c r="V90" s="49">
        <f t="shared" si="56"/>
        <v>0.9379272545398053</v>
      </c>
      <c r="W90" s="49">
        <f t="shared" si="56"/>
        <v>0.93778760737796485</v>
      </c>
    </row>
    <row r="92" spans="2:24" x14ac:dyDescent="0.2">
      <c r="B92" s="113" t="s">
        <v>132</v>
      </c>
      <c r="C92" s="51"/>
      <c r="D92" s="51"/>
      <c r="E92" s="52">
        <f t="shared" ref="E92:G92" si="57">E94+E95</f>
        <v>7.2293640000000012</v>
      </c>
      <c r="F92" s="52">
        <f t="shared" si="57"/>
        <v>7.2143069999999998</v>
      </c>
      <c r="G92" s="52">
        <f t="shared" si="57"/>
        <v>5.9857409999999991</v>
      </c>
      <c r="H92" s="52">
        <f t="shared" ref="H92:W92" si="58">H94+H95</f>
        <v>6.1006442626004187</v>
      </c>
      <c r="I92" s="52">
        <f t="shared" si="58"/>
        <v>6.1883468017334327</v>
      </c>
      <c r="J92" s="52">
        <f t="shared" si="58"/>
        <v>6.2553067442008849</v>
      </c>
      <c r="K92" s="52">
        <f t="shared" si="58"/>
        <v>6.3049549272222096</v>
      </c>
      <c r="L92" s="52">
        <f t="shared" si="58"/>
        <v>6.343406585508153</v>
      </c>
      <c r="M92" s="52">
        <f t="shared" si="58"/>
        <v>6.3721289685147262</v>
      </c>
      <c r="N92" s="52">
        <f t="shared" si="58"/>
        <v>6.3915354735186458</v>
      </c>
      <c r="O92" s="52">
        <f t="shared" si="58"/>
        <v>6.4024018002277128</v>
      </c>
      <c r="P92" s="52">
        <f t="shared" si="58"/>
        <v>6.3945652780119753</v>
      </c>
      <c r="Q92" s="52">
        <f t="shared" si="58"/>
        <v>6.37845680393146</v>
      </c>
      <c r="R92" s="52">
        <f t="shared" si="58"/>
        <v>6.354680865344835</v>
      </c>
      <c r="S92" s="52">
        <f t="shared" si="58"/>
        <v>6.32373921463443</v>
      </c>
      <c r="T92" s="52">
        <f t="shared" si="58"/>
        <v>6.2861310956190097</v>
      </c>
      <c r="U92" s="52">
        <f t="shared" si="58"/>
        <v>6.2423416711118307</v>
      </c>
      <c r="V92" s="52">
        <f t="shared" si="58"/>
        <v>6.1928188366619539</v>
      </c>
      <c r="W92" s="52">
        <f t="shared" si="58"/>
        <v>6.1379987612682392</v>
      </c>
    </row>
    <row r="93" spans="2:24" x14ac:dyDescent="0.2">
      <c r="B93" s="33" t="s">
        <v>133</v>
      </c>
      <c r="C93" s="97"/>
      <c r="D93" s="97"/>
      <c r="E93" s="266">
        <f>((E35*D83)-(E37*(D86+D88)))/(D84+D85+D87)</f>
        <v>6.6838324052938658</v>
      </c>
      <c r="F93" s="266">
        <f t="shared" ref="F93:G93" si="59">((F35*E83)-(F37*(E86+E88)))/(E84+E85+E87)</f>
        <v>7.2001830420087387</v>
      </c>
      <c r="G93" s="266">
        <f t="shared" si="59"/>
        <v>5.9561921810339973</v>
      </c>
      <c r="H93" s="34">
        <f t="shared" ref="H93:W93" si="60">IF(G83&gt;0,(G93*G84+H36*(G87+G85))/(G84+G85+G87),H36)</f>
        <v>6.0800000387567961</v>
      </c>
      <c r="I93" s="34">
        <f t="shared" si="60"/>
        <v>6.1749562434446572</v>
      </c>
      <c r="J93" s="34">
        <f t="shared" si="60"/>
        <v>6.2478926046440657</v>
      </c>
      <c r="K93" s="34">
        <f t="shared" si="60"/>
        <v>6.3024366774977283</v>
      </c>
      <c r="L93" s="34">
        <f t="shared" si="60"/>
        <v>6.345081998515167</v>
      </c>
      <c r="M93" s="34">
        <f t="shared" si="60"/>
        <v>6.3773855660483303</v>
      </c>
      <c r="N93" s="34">
        <f>IF(M83&gt;0,(M93*M84+N36*(M87+M85))/(M84+M85+M87),N36)</f>
        <v>6.3997832422788363</v>
      </c>
      <c r="O93" s="34">
        <f>IF(N83&gt;0,(N93*N84+O36*(N87+N85))/(N84+N85+N87),O36)</f>
        <v>6.4130972101488704</v>
      </c>
      <c r="P93" s="34">
        <f t="shared" si="60"/>
        <v>6.4169494491147203</v>
      </c>
      <c r="Q93" s="34">
        <f t="shared" si="60"/>
        <v>6.4120377564861784</v>
      </c>
      <c r="R93" s="34">
        <f t="shared" si="60"/>
        <v>6.3990053466970345</v>
      </c>
      <c r="S93" s="34">
        <f t="shared" si="60"/>
        <v>6.3783865233894685</v>
      </c>
      <c r="T93" s="34">
        <f t="shared" si="60"/>
        <v>6.3507120757740445</v>
      </c>
      <c r="U93" s="34">
        <f t="shared" si="60"/>
        <v>6.3164973893640726</v>
      </c>
      <c r="V93" s="34">
        <f t="shared" si="60"/>
        <v>6.2762180761768498</v>
      </c>
      <c r="W93" s="34">
        <f t="shared" si="60"/>
        <v>6.2303368655409255</v>
      </c>
    </row>
    <row r="94" spans="2:24" x14ac:dyDescent="0.2">
      <c r="B94" s="26" t="s">
        <v>134</v>
      </c>
      <c r="C94" s="97"/>
      <c r="D94" s="97"/>
      <c r="E94" s="34">
        <f t="shared" ref="E94:F94" si="61">(E93*(D84+D85+D87)+E37*(D86+D88))/D83</f>
        <v>7.2293640000000012</v>
      </c>
      <c r="F94" s="34">
        <f t="shared" si="61"/>
        <v>7.2143069999999998</v>
      </c>
      <c r="G94" s="34">
        <f>(G93*(F84+F85+F87)+G37*(F86+F88))/F83</f>
        <v>5.9857409999999991</v>
      </c>
      <c r="H94" s="34">
        <f t="shared" ref="H94:W94" si="62">(H93*(G84+G85+G87)+H37*(G86+G88))/G83</f>
        <v>6.1006442626004187</v>
      </c>
      <c r="I94" s="34">
        <f t="shared" si="62"/>
        <v>6.1883468017334327</v>
      </c>
      <c r="J94" s="34">
        <f t="shared" si="62"/>
        <v>6.2553067442008849</v>
      </c>
      <c r="K94" s="34">
        <f t="shared" si="62"/>
        <v>6.3049549272222096</v>
      </c>
      <c r="L94" s="34">
        <f t="shared" si="62"/>
        <v>6.343406585508153</v>
      </c>
      <c r="M94" s="34">
        <f t="shared" si="62"/>
        <v>6.3721289685147262</v>
      </c>
      <c r="N94" s="34">
        <f>(N93*(M84+M85+M87)+N37*(M86+M88))/M83</f>
        <v>6.3915354735186458</v>
      </c>
      <c r="O94" s="34">
        <f>(O93*(N84+N85+N87)+O37*(N86+N88))/N83</f>
        <v>6.4024018002277128</v>
      </c>
      <c r="P94" s="34">
        <f t="shared" si="62"/>
        <v>6.3945652780119753</v>
      </c>
      <c r="Q94" s="34">
        <f t="shared" si="62"/>
        <v>6.37845680393146</v>
      </c>
      <c r="R94" s="34">
        <f t="shared" si="62"/>
        <v>6.354680865344835</v>
      </c>
      <c r="S94" s="34">
        <f t="shared" si="62"/>
        <v>6.32373921463443</v>
      </c>
      <c r="T94" s="34">
        <f t="shared" si="62"/>
        <v>6.2861310956190097</v>
      </c>
      <c r="U94" s="34">
        <f t="shared" si="62"/>
        <v>6.2423416711118307</v>
      </c>
      <c r="V94" s="34">
        <f t="shared" si="62"/>
        <v>6.1928188366619539</v>
      </c>
      <c r="W94" s="34">
        <f t="shared" si="62"/>
        <v>6.1379987612682392</v>
      </c>
    </row>
    <row r="95" spans="2:24" x14ac:dyDescent="0.2">
      <c r="B95" s="35" t="s">
        <v>135</v>
      </c>
      <c r="C95" s="35"/>
      <c r="D95" s="35"/>
      <c r="E95" s="49">
        <f>IF('Criteria results'!$F$5=4,E105,E110)</f>
        <v>0</v>
      </c>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186</v>
      </c>
      <c r="C97" s="52">
        <f t="shared" ref="C97:T97" si="63">((1+C92/100)/((1+C23/100)*(1+C41/100))-1)*100</f>
        <v>-12.246183299015833</v>
      </c>
      <c r="D97" s="52">
        <f t="shared" si="63"/>
        <v>-16.294896291207174</v>
      </c>
      <c r="E97" s="52">
        <f t="shared" si="63"/>
        <v>-5.6971512852683421</v>
      </c>
      <c r="F97" s="52">
        <f t="shared" si="63"/>
        <v>-0.58471536016967418</v>
      </c>
      <c r="G97" s="52">
        <f>((1+G92/100)/((1+G23/100)*(1+G41/100))-1)*100</f>
        <v>-0.65999390843156647</v>
      </c>
      <c r="H97" s="52">
        <f t="shared" si="63"/>
        <v>0.20556737539796366</v>
      </c>
      <c r="I97" s="52">
        <f t="shared" si="63"/>
        <v>0.43613775263522392</v>
      </c>
      <c r="J97" s="52">
        <f t="shared" si="63"/>
        <v>0.62403149355139131</v>
      </c>
      <c r="K97" s="52">
        <f t="shared" si="63"/>
        <v>2.0097274101349427E-2</v>
      </c>
      <c r="L97" s="52">
        <f t="shared" si="63"/>
        <v>0.32919984530539459</v>
      </c>
      <c r="M97" s="52">
        <f t="shared" si="63"/>
        <v>0.785243914721101</v>
      </c>
      <c r="N97" s="52">
        <f t="shared" si="63"/>
        <v>1.0006821207117378</v>
      </c>
      <c r="O97" s="52">
        <f t="shared" si="63"/>
        <v>1.0979781498964059</v>
      </c>
      <c r="P97" s="52">
        <f t="shared" si="63"/>
        <v>1.2286287869594625</v>
      </c>
      <c r="Q97" s="52">
        <f t="shared" si="63"/>
        <v>1.2613598925846681</v>
      </c>
      <c r="R97" s="52">
        <f t="shared" si="63"/>
        <v>1.286805330312113</v>
      </c>
      <c r="S97" s="52">
        <f t="shared" si="63"/>
        <v>1.2752933377800257</v>
      </c>
      <c r="T97" s="52">
        <f t="shared" si="63"/>
        <v>1.3029681441738994</v>
      </c>
      <c r="U97" s="52">
        <f>((1+U92/100)/((1+U23/100)*(1+U41/100))-1)*100</f>
        <v>1.3260166156303654</v>
      </c>
      <c r="V97" s="52">
        <f t="shared" ref="V97:W97" si="64">((1+V92/100)/((1+V23/100)*(1+V41/100))-1)*100</f>
        <v>1.3231943261464485</v>
      </c>
      <c r="W97" s="52">
        <f t="shared" si="64"/>
        <v>1.2987697190495417</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293</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76.688644409179688</v>
      </c>
      <c r="D103" s="34">
        <v>74.056968688964844</v>
      </c>
      <c r="E103" s="34">
        <v>73.520370483398438</v>
      </c>
      <c r="F103" s="34">
        <v>74.287979125976563</v>
      </c>
      <c r="G103" s="34">
        <v>73.85491943359375</v>
      </c>
      <c r="H103" s="34">
        <v>73.145805358886719</v>
      </c>
      <c r="I103" s="34">
        <v>71.996414184570313</v>
      </c>
      <c r="J103" s="34">
        <v>70.352256774902344</v>
      </c>
      <c r="K103" s="34">
        <v>68.26007080078125</v>
      </c>
      <c r="L103" s="34">
        <v>66.487922668457031</v>
      </c>
      <c r="M103" s="34">
        <v>65.052719116210938</v>
      </c>
      <c r="N103" s="34">
        <v>63.806865692138672</v>
      </c>
      <c r="O103" s="34">
        <v>62.699337005615234</v>
      </c>
      <c r="P103" s="34">
        <v>61.815647125244141</v>
      </c>
      <c r="Q103" s="34">
        <v>61.128200531005859</v>
      </c>
      <c r="R103" s="34">
        <v>60.660190582275391</v>
      </c>
      <c r="S103" s="34">
        <v>60.396419525146484</v>
      </c>
      <c r="T103" s="34">
        <v>60.368442535400391</v>
      </c>
      <c r="U103" s="34">
        <v>60.5887451171875</v>
      </c>
      <c r="V103" s="34">
        <v>61.058334350585938</v>
      </c>
      <c r="W103" s="34">
        <v>61.790634155273438</v>
      </c>
      <c r="X103" s="34"/>
      <c r="Y103" s="34"/>
      <c r="Z103" s="34"/>
    </row>
    <row r="104" spans="1:54" s="5" customFormat="1" ht="12.75" x14ac:dyDescent="0.2">
      <c r="A104" s="26"/>
      <c r="B104" s="26" t="s">
        <v>132</v>
      </c>
      <c r="C104" s="1">
        <v>3.2392632961273193</v>
      </c>
      <c r="D104" s="1">
        <v>4.4184198379516602</v>
      </c>
      <c r="E104" s="1">
        <v>7.2293639183044434</v>
      </c>
      <c r="F104" s="1">
        <v>7.2143068313598633</v>
      </c>
      <c r="G104" s="1">
        <v>5.9857401847839355</v>
      </c>
      <c r="H104" s="1">
        <v>6.100651741027832</v>
      </c>
      <c r="I104" s="1">
        <v>6.1883535385131836</v>
      </c>
      <c r="J104" s="1">
        <v>6.2553129196166992</v>
      </c>
      <c r="K104" s="1">
        <v>6.3049602508544922</v>
      </c>
      <c r="L104" s="1">
        <v>6.343411922454834</v>
      </c>
      <c r="M104" s="1">
        <v>6.372133731842041</v>
      </c>
      <c r="N104" s="1">
        <v>6.3915390968322754</v>
      </c>
      <c r="O104" s="1">
        <v>6.4024052619934082</v>
      </c>
      <c r="P104" s="1">
        <v>6.394568920135498</v>
      </c>
      <c r="Q104" s="1">
        <v>6.3784599304199219</v>
      </c>
      <c r="R104" s="1">
        <v>6.3546833992004395</v>
      </c>
      <c r="S104" s="1">
        <v>6.3237414360046387</v>
      </c>
      <c r="T104" s="1">
        <v>6.2861332893371582</v>
      </c>
      <c r="U104" s="99">
        <v>6.2423434257507324</v>
      </c>
      <c r="V104" s="99">
        <v>6.1928205490112305</v>
      </c>
      <c r="W104" s="99">
        <v>6.13800048828125</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185</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294</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76.688644409179688</v>
      </c>
      <c r="D108" s="34">
        <v>74.056968688964844</v>
      </c>
      <c r="E108" s="34">
        <v>73.520370483398438</v>
      </c>
      <c r="F108" s="34">
        <v>74.287979125976563</v>
      </c>
      <c r="G108" s="34">
        <v>73.887054443359375</v>
      </c>
      <c r="H108" s="34">
        <v>73.4412841796875</v>
      </c>
      <c r="I108" s="34">
        <v>72.793144226074219</v>
      </c>
      <c r="J108" s="34">
        <v>71.892997741699219</v>
      </c>
      <c r="K108" s="34">
        <v>70.637893676757813</v>
      </c>
      <c r="L108" s="34">
        <v>69.028900146484375</v>
      </c>
      <c r="M108" s="34">
        <v>67.080314636230469</v>
      </c>
      <c r="N108" s="34">
        <v>65.054832458496094</v>
      </c>
      <c r="O108" s="34">
        <v>63.418220520019531</v>
      </c>
      <c r="P108" s="34">
        <v>62.118972778320313</v>
      </c>
      <c r="Q108" s="34">
        <v>60.996486663818359</v>
      </c>
      <c r="R108" s="34">
        <v>60.073657989501953</v>
      </c>
      <c r="S108" s="34">
        <v>59.369304656982422</v>
      </c>
      <c r="T108" s="34">
        <v>58.895210266113281</v>
      </c>
      <c r="U108" s="34">
        <v>58.663749694824219</v>
      </c>
      <c r="V108" s="34">
        <v>58.676235198974609</v>
      </c>
      <c r="W108" s="34">
        <v>58.946598052978516</v>
      </c>
      <c r="X108" s="34"/>
      <c r="Y108" s="34"/>
      <c r="Z108" s="34"/>
    </row>
    <row r="109" spans="1:54" x14ac:dyDescent="0.2">
      <c r="B109" s="26" t="s">
        <v>132</v>
      </c>
      <c r="C109" s="1">
        <v>3.2392632961273193</v>
      </c>
      <c r="D109" s="1">
        <v>4.4184198379516602</v>
      </c>
      <c r="E109" s="1">
        <v>7.2293639183044434</v>
      </c>
      <c r="F109" s="1">
        <v>7.2143068313598633</v>
      </c>
      <c r="G109" s="1">
        <v>5.9857401847839355</v>
      </c>
      <c r="H109" s="1">
        <v>6.1025090217590332</v>
      </c>
      <c r="I109" s="1">
        <v>6.1933231353759766</v>
      </c>
      <c r="J109" s="1">
        <v>6.2641096115112305</v>
      </c>
      <c r="K109" s="1">
        <v>6.3178462982177734</v>
      </c>
      <c r="L109" s="1">
        <v>6.3571186065673828</v>
      </c>
      <c r="M109" s="1">
        <v>6.384178638458252</v>
      </c>
      <c r="N109" s="1">
        <v>6.4010052680969238</v>
      </c>
      <c r="O109" s="1">
        <v>6.4101548194885254</v>
      </c>
      <c r="P109" s="1">
        <v>6.401343822479248</v>
      </c>
      <c r="Q109" s="1">
        <v>6.3847594261169434</v>
      </c>
      <c r="R109" s="1">
        <v>6.3609738349914551</v>
      </c>
      <c r="S109" s="1">
        <v>6.3304452896118164</v>
      </c>
      <c r="T109" s="1">
        <v>6.2935647964477539</v>
      </c>
      <c r="U109" s="1">
        <v>6.250730037689209</v>
      </c>
      <c r="V109" s="1">
        <v>6.2022957801818848</v>
      </c>
      <c r="W109" s="1">
        <v>6.1486058235168457</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185</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HU</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-4.8520380000000003</v>
      </c>
      <c r="D12" s="2">
        <f>'Input data'!D13</f>
        <v>-4.121645</v>
      </c>
      <c r="E12" s="2">
        <f>'Input data'!E13</f>
        <v>-1.336916</v>
      </c>
      <c r="F12" s="2">
        <f>'Input data'!F13</f>
        <v>3.4885699999999999E-2</v>
      </c>
      <c r="G12" s="3">
        <f>'Adjust. no safeguard'!G12</f>
        <v>0.69488570000000005</v>
      </c>
      <c r="H12" s="3">
        <f>'Adjust. no safeguard'!H12</f>
        <v>1.3548857000000001</v>
      </c>
      <c r="I12" s="3">
        <f>'Adjust. no safeguard'!I12</f>
        <v>2.0148857000000002</v>
      </c>
      <c r="J12" s="3">
        <f>'Adjust. no safeguard'!J12</f>
        <v>2.6748857000000004</v>
      </c>
      <c r="K12" s="119">
        <f>'Adjust. no safeguard'!K12</f>
        <v>2.6748857000000004</v>
      </c>
      <c r="L12" s="119">
        <f>'Adjust. no safeguard'!L12</f>
        <v>2.6748857000000004</v>
      </c>
      <c r="M12" s="119">
        <f>'Adjust. no safeguard'!M12</f>
        <v>2.6748857000000004</v>
      </c>
      <c r="N12" s="119">
        <f>IF(N10&lt;=$C$6,M12+'Criteria results'!$F$6,M12)</f>
        <v>2.6748857000000004</v>
      </c>
      <c r="O12" s="119">
        <f>IF(O10&lt;=$C$6,N12+'Criteria results'!$F$6,N12)</f>
        <v>2.6748857000000004</v>
      </c>
      <c r="P12" s="119">
        <f>IF(P10&lt;=$C$6,O12+'Criteria results'!$F$6,O12)</f>
        <v>2.6748857000000004</v>
      </c>
      <c r="Q12" s="119">
        <f>IF(Q10&lt;=$C$6,P12+'Criteria results'!$F$6,P12)</f>
        <v>2.6748857000000004</v>
      </c>
      <c r="R12" s="119">
        <f>IF(R10&lt;=$C$6,Q12+'Criteria results'!$F$6,Q12)</f>
        <v>2.6748857000000004</v>
      </c>
      <c r="S12" s="119">
        <f>IF(S10&lt;=$C$6,R12+'Criteria results'!$F$6,R12)</f>
        <v>2.6748857000000004</v>
      </c>
      <c r="T12" s="119">
        <f>IF(T10&lt;=$C$6,S12+'Criteria results'!$F$6,S12)</f>
        <v>2.6748857000000004</v>
      </c>
      <c r="U12" s="119">
        <f>IF(U10&lt;=$C$6,T12+'Criteria results'!$F$6,T12)</f>
        <v>2.6748857000000004</v>
      </c>
      <c r="V12" s="119">
        <f>IF(V10&lt;=$C$6,U12+'Criteria results'!$F$6,U12)</f>
        <v>2.6748857000000004</v>
      </c>
      <c r="W12" s="119">
        <f>IF(W10&lt;=$C$6,V12+'Criteria results'!$F$6,V12)</f>
        <v>2.6748857000000004</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-0.1086859</v>
      </c>
      <c r="D13" s="2">
        <f>'Input data'!D14</f>
        <v>0</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-0.1919507</v>
      </c>
      <c r="D14" s="2">
        <f>'Input data'!D15</f>
        <v>9.56404E-2</v>
      </c>
      <c r="E14" s="2">
        <f>'Input data'!E15</f>
        <v>2.4978720000000001</v>
      </c>
      <c r="F14" s="2">
        <f>'Input data'!F15</f>
        <v>-0.13437760000000001</v>
      </c>
      <c r="G14" s="2">
        <f>'Input data'!G15</f>
        <v>0.1957401</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16.0166</v>
      </c>
      <c r="E17" s="101">
        <f>'Input data'!E20</f>
        <v>16.121750000000002</v>
      </c>
      <c r="F17" s="101">
        <f>'Input data'!F20</f>
        <v>16.128519999999998</v>
      </c>
      <c r="G17" s="101">
        <f>'Input data'!G20</f>
        <v>16.013810000000003</v>
      </c>
      <c r="H17" s="101">
        <f>'Input data'!H20</f>
        <v>15.929929999999999</v>
      </c>
      <c r="I17" s="101">
        <f>'Input data'!I20</f>
        <v>15.87402</v>
      </c>
      <c r="J17" s="101">
        <f>'Input data'!J20</f>
        <v>15.87527</v>
      </c>
      <c r="K17" s="101">
        <f>'Input data'!K20</f>
        <v>15.887590000000001</v>
      </c>
      <c r="L17" s="101">
        <f>'Input data'!L20</f>
        <v>15.930810000000001</v>
      </c>
      <c r="M17" s="101">
        <f>'Input data'!M20</f>
        <v>16.00994</v>
      </c>
      <c r="N17" s="101">
        <f>'Input data'!N20</f>
        <v>16.10998</v>
      </c>
      <c r="O17" s="101">
        <f>'Input data'!O20</f>
        <v>16.238250000000001</v>
      </c>
      <c r="P17" s="101">
        <f>'Input data'!P20</f>
        <v>16.391590000000001</v>
      </c>
      <c r="Q17" s="101">
        <f>'Input data'!Q20</f>
        <v>16.5777</v>
      </c>
      <c r="R17" s="101">
        <f>'Input data'!R20</f>
        <v>16.78951</v>
      </c>
      <c r="S17" s="101">
        <f>'Input data'!S20</f>
        <v>17.006</v>
      </c>
      <c r="T17" s="101">
        <f>'Input data'!T20</f>
        <v>17.227679999999999</v>
      </c>
      <c r="U17" s="101">
        <f>'Input data'!U20</f>
        <v>17.461649999999999</v>
      </c>
      <c r="V17" s="101">
        <f>'Input data'!V20</f>
        <v>17.708970000000001</v>
      </c>
      <c r="W17" s="101">
        <f>'Input data'!W20</f>
        <v>17.97964</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0.53881259999999997</v>
      </c>
      <c r="D18" s="101">
        <f>'Input data'!D26</f>
        <v>1.182669</v>
      </c>
      <c r="E18" s="101">
        <f>'Input data'!E26</f>
        <v>1.1819139999999999</v>
      </c>
      <c r="F18" s="101">
        <f>'Input data'!F26</f>
        <v>1.18116</v>
      </c>
      <c r="G18" s="101">
        <f>'Input data'!G26</f>
        <v>1.1804049999999999</v>
      </c>
      <c r="H18" s="101">
        <f>'Input data'!H26</f>
        <v>1.179651</v>
      </c>
      <c r="I18" s="101">
        <f>'Input data'!I26</f>
        <v>1.1788959999999999</v>
      </c>
      <c r="J18" s="101">
        <f>'Input data'!J26</f>
        <v>1.178142</v>
      </c>
      <c r="K18" s="101">
        <f>'Input data'!K26</f>
        <v>1.177387</v>
      </c>
      <c r="L18" s="101">
        <f>'Input data'!L26</f>
        <v>1.176633</v>
      </c>
      <c r="M18" s="101">
        <f>'Input data'!M26</f>
        <v>1.175878</v>
      </c>
      <c r="N18" s="101">
        <f>'Input data'!N26</f>
        <v>1.1751240000000001</v>
      </c>
      <c r="O18" s="101">
        <f>'Input data'!O26</f>
        <v>1.1743699999999999</v>
      </c>
      <c r="P18" s="101">
        <f>'Input data'!P26</f>
        <v>1.1736150000000001</v>
      </c>
      <c r="Q18" s="101">
        <f>'Input data'!Q26</f>
        <v>1.1728609999999999</v>
      </c>
      <c r="R18" s="101">
        <f>'Input data'!R26</f>
        <v>1.1721060000000001</v>
      </c>
      <c r="S18" s="101">
        <f>'Input data'!S26</f>
        <v>1.1713519999999999</v>
      </c>
      <c r="T18" s="101">
        <f>'Input data'!T26</f>
        <v>1.170598</v>
      </c>
      <c r="U18" s="101">
        <f>'Input data'!U26</f>
        <v>1.169843</v>
      </c>
      <c r="V18" s="101">
        <f>'Input data'!V26</f>
        <v>1.169089</v>
      </c>
      <c r="W18" s="101">
        <f>'Input data'!W26</f>
        <v>1.168334</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42098.46</v>
      </c>
      <c r="D22" s="100">
        <f>IF(AND(D50&gt;1,C50&gt;1),IF(AND(D50&gt;0,C50&gt;0),D27*(D51/100+1),0)+IF(D50&gt;0,C22*(1+D52/100),0)-C22*(1+'Input data'!D30/100),IF(D50=1,D27,C22*(1+D52/100)))</f>
        <v>44028.004183516801</v>
      </c>
      <c r="E22" s="100">
        <f>IF(AND(E50&gt;1,D50&gt;1),IF(AND(E50&gt;0,D50&gt;0),E27*(E51/100+1),0)+IF(E50&gt;0,D22*(1+E52/100),0)-D22*(1+'Input data'!E30/100),IF(E50=1,E27,D22*(1+E52/100)))</f>
        <v>43628.368197491611</v>
      </c>
      <c r="F22" s="100">
        <f>IF(AND(F50&gt;1,E50&gt;1),IF(AND(F50&gt;0,E50&gt;0),F27*(F51/100+1),0)+IF(F50&gt;0,E22*(1+F52/100),0)-E22*(1+'Input data'!F30/100),IF(F50=1,F27,E22*(1+F52/100)))</f>
        <v>44682.719701791517</v>
      </c>
      <c r="G22" s="34">
        <f>IF(AND(G50&gt;1,F50&gt;1),IF(AND(G50&gt;0,F50&gt;0),G27*(G51/100+1),0)+IF(G50&gt;0,F22*(1+G52/100),0)-F22*(1+'Input data'!G30/100),IF(G50=1,G27,F22*(1+G52/100)))</f>
        <v>45926.73934389864</v>
      </c>
      <c r="H22" s="34">
        <f>IF(AND(H50&gt;1,G50&gt;1),IF(AND(H50&gt;0,G50&gt;0),H27*(H51/100+1),0)+IF(H50&gt;0,G22*(1+H52/100),0)-G22*(1+'Input data'!H30/100),IF(H50=1,H27,G22*(1+H52/100)))</f>
        <v>46881.6837183139</v>
      </c>
      <c r="I22" s="34">
        <f>IF(AND(I50&gt;1,H50&gt;1),IF(AND(I50&gt;0,H50&gt;0),I27*(I51/100+1),0)+IF(I50&gt;0,H22*(1+I52/100),0)-H22*(1+'Input data'!I30/100),IF(I50=1,I27,H22*(1+I52/100)))</f>
        <v>47820.086444207474</v>
      </c>
      <c r="J22" s="34">
        <f>IF(AND(J50&gt;1,I50&gt;1),IF(AND(J50&gt;0,I50&gt;0),J27*(J51/100+1),0)+IF(J50&gt;0,I22*(1+J52/100),0)-I22*(1+'Input data'!J30/100),IF(J50=1,J27,I22*(1+J52/100)))</f>
        <v>48751.577760948043</v>
      </c>
      <c r="K22" s="4">
        <f>IF(AND(K50&gt;1,J50&gt;1),IF(AND(K50&gt;0,J50&gt;0),K27*(K51/100+1),0)+IF(K50&gt;0,J22*(1+K52/100),0)-J22*(1+'Adverse (r-g)'!K24/100),IF(K50=1,K27,J22*(1+K52/100)))</f>
        <v>49724.098044803715</v>
      </c>
      <c r="L22" s="4">
        <f>IF(AND(L50&gt;1,K50&gt;1),IF(AND(L50&gt;0,K50&gt;0),L27*(L51/100+1),0)+IF(L50&gt;0,K22*(1+L52/100),0)-K22*(1+'Adverse (r-g)'!L24/100),IF(L50=1,L27,K22*(1+L52/100)))</f>
        <v>50717.589085135878</v>
      </c>
      <c r="M22" s="4">
        <f>IF(AND(M50&gt;1,L50&gt;1),IF(AND(M50&gt;0,L50&gt;0),M27*(M51/100+1),0)+IF(M50&gt;0,L22*(1+M52/100),0)-L22*(1+'Adverse (r-g)'!M24/100),IF(M50=1,M27,L22*(1+M52/100)))</f>
        <v>51711.663725848193</v>
      </c>
      <c r="N22" s="4">
        <f>IF(AND(N50&gt;1,M50&gt;1),IF(AND(N50&gt;0,M50&gt;0),N27*(N51/100+1),0)+IF(N50&gt;0,M22*(1+N52/100),0)-M22*(1+'Adverse (r-g)'!N24/100),IF(N50=1,N27,M22*(1+N52/100)))</f>
        <v>52434.348188566124</v>
      </c>
      <c r="O22" s="4">
        <f>IF(AND(O50&gt;1,N50&gt;1),IF(AND(O50&gt;0,N50&gt;0),O27*(O51/100+1),0)+IF(O50&gt;0,N22*(1+O52/100),0)-N22*(1+'Adverse (r-g)'!O24/100),IF(O50=1,O27,N22*(1+O52/100)))</f>
        <v>53159.351628847653</v>
      </c>
      <c r="P22" s="4">
        <f>IF(AND(P50&gt;1,O50&gt;1),IF(AND(P50&gt;0,O50&gt;0),P27*(P51/100+1),0)+IF(P50&gt;0,O22*(1+P52/100),0)-O22*(1+'Adverse (r-g)'!P24/100),IF(P50=1,P27,O22*(1+P52/100)))</f>
        <v>53874.193404103513</v>
      </c>
      <c r="Q22" s="4">
        <f>IF(AND(Q50&gt;1,P50&gt;1),IF(AND(Q50&gt;0,P50&gt;0),Q27*(Q51/100+1),0)+IF(Q50&gt;0,P22*(1+Q52/100),0)-P22*(1+'Adverse (r-g)'!Q24/100),IF(Q50=1,Q27,P22*(1+Q52/100)))</f>
        <v>54578.188500250362</v>
      </c>
      <c r="R22" s="4">
        <f>IF(AND(R50&gt;1,Q50&gt;1),IF(AND(R50&gt;0,Q50&gt;0),R27*(R51/100+1),0)+IF(R50&gt;0,Q22*(1+R52/100),0)-Q22*(1+'Adverse (r-g)'!R24/100),IF(R50=1,R27,Q22*(1+R52/100)))</f>
        <v>55270.660182484993</v>
      </c>
      <c r="S22" s="4">
        <f>IF(AND(S50&gt;1,R50&gt;1),IF(AND(S50&gt;0,R50&gt;0),S27*(S51/100+1),0)+IF(S50&gt;0,R22*(1+S52/100),0)-R22*(1+'Adverse (r-g)'!S24/100),IF(S50=1,S27,R22*(1+S52/100)))</f>
        <v>55967.669082034081</v>
      </c>
      <c r="T22" s="4">
        <f>IF(AND(T50&gt;1,S50&gt;1),IF(AND(T50&gt;0,S50&gt;0),T27*(T51/100+1),0)+IF(T50&gt;0,S22*(1+T52/100),0)-S22*(1+'Adverse (r-g)'!T24/100),IF(T50=1,T27,S22*(1+T52/100)))</f>
        <v>56643.562637703268</v>
      </c>
      <c r="U22" s="4">
        <f>IF(AND(U50&gt;1,T50&gt;1),IF(AND(U50&gt;0,T50&gt;0),U27*(U51/100+1),0)+IF(U50&gt;0,T22*(1+U52/100),0)-T22*(1+'Adverse (r-g)'!U24/100),IF(U50=1,U27,T22*(1+U52/100)))</f>
        <v>57296.644788975944</v>
      </c>
      <c r="V22" s="4">
        <f>IF(AND(V50&gt;1,U50&gt;1),IF(AND(V50&gt;0,U50&gt;0),V27*(V51/100+1),0)+IF(V50&gt;0,U22*(1+V52/100),0)-U22*(1+'Adverse (r-g)'!V24/100),IF(V50=1,V27,U22*(1+V52/100)))</f>
        <v>57937.656159250648</v>
      </c>
      <c r="W22" s="4">
        <f>IF(AND(W50&gt;1,V50&gt;1),IF(AND(W50&gt;0,V50&gt;0),W27*(W51/100+1),0)+IF(W50&gt;0,V22*(1+W52/100),0)-V22*(1+'Adverse (r-g)'!W24/100),IF(W50=1,W27,V22*(1+W52/100)))</f>
        <v>58575.626810646696</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7.0612209999999997</v>
      </c>
      <c r="D23" s="100">
        <f>100*(D22/C22-1)</f>
        <v>4.583408000000011</v>
      </c>
      <c r="E23" s="100">
        <f t="shared" ref="E23:T23" si="0">100*(E22/D22-1)</f>
        <v>-0.90768589999999927</v>
      </c>
      <c r="F23" s="100">
        <f t="shared" si="0"/>
        <v>2.4166649999999956</v>
      </c>
      <c r="G23" s="34">
        <f t="shared" si="0"/>
        <v>2.7841180000000021</v>
      </c>
      <c r="H23" s="34">
        <f t="shared" si="0"/>
        <v>2.0792775364796734</v>
      </c>
      <c r="I23" s="34">
        <f t="shared" si="0"/>
        <v>2.0016404093588402</v>
      </c>
      <c r="J23" s="34">
        <f t="shared" si="0"/>
        <v>1.9479080570616647</v>
      </c>
      <c r="K23" s="4">
        <f>100*(K22/J22-1)</f>
        <v>1.9948488408403797</v>
      </c>
      <c r="L23" s="4">
        <f>100*(L22/K22-1)</f>
        <v>1.9980071623159068</v>
      </c>
      <c r="M23" s="4">
        <f t="shared" si="0"/>
        <v>1.9600195092941641</v>
      </c>
      <c r="N23" s="4">
        <f t="shared" si="0"/>
        <v>1.3975269999999984</v>
      </c>
      <c r="O23" s="4">
        <f t="shared" si="0"/>
        <v>1.3826880000000097</v>
      </c>
      <c r="P23" s="4">
        <f t="shared" si="0"/>
        <v>1.3447149999999963</v>
      </c>
      <c r="Q23" s="4">
        <f t="shared" si="0"/>
        <v>1.3067390000000012</v>
      </c>
      <c r="R23" s="4">
        <f t="shared" si="0"/>
        <v>1.2687700000000079</v>
      </c>
      <c r="S23" s="4">
        <f t="shared" si="0"/>
        <v>1.2610830000000073</v>
      </c>
      <c r="T23" s="4">
        <f t="shared" si="0"/>
        <v>1.2076500000000046</v>
      </c>
      <c r="U23" s="4">
        <f t="shared" ref="U23" si="1">100*(U22/T22-1)</f>
        <v>1.1529679999999987</v>
      </c>
      <c r="V23" s="4">
        <f t="shared" ref="V23" si="2">100*(V22/U22-1)</f>
        <v>1.1187590000000025</v>
      </c>
      <c r="W23" s="4">
        <f t="shared" ref="W23" si="3">100*(W22/V22-1)</f>
        <v>1.1011330000000097</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1.5546989999999998</v>
      </c>
      <c r="L24" s="4">
        <f>IF('Criteria results'!$F$5=4,'Input data'!L30-0.5,'Input data'!L30)</f>
        <v>1.559733</v>
      </c>
      <c r="M24" s="4">
        <f>IF('Criteria results'!$F$5=4,'Input data'!M30-0.5,'Input data'!M30)</f>
        <v>1.523784</v>
      </c>
      <c r="N24" s="4">
        <f>'Input data'!N30-0.5</f>
        <v>1.397527</v>
      </c>
      <c r="O24" s="4">
        <f>'Input data'!O30-0.5</f>
        <v>1.3826879999999999</v>
      </c>
      <c r="P24" s="4">
        <f>'Input data'!P30-0.5</f>
        <v>1.3447150000000001</v>
      </c>
      <c r="Q24" s="4">
        <f>'Input data'!Q30-0.5</f>
        <v>1.3067390000000001</v>
      </c>
      <c r="R24" s="4">
        <f>'Input data'!R30-0.5</f>
        <v>1.26877</v>
      </c>
      <c r="S24" s="4">
        <f>'Input data'!S30-0.5</f>
        <v>1.261083</v>
      </c>
      <c r="T24" s="4">
        <f>'Input data'!T30-0.5</f>
        <v>1.2076499999999999</v>
      </c>
      <c r="U24" s="4">
        <f>'Input data'!U30-0.5</f>
        <v>1.152968</v>
      </c>
      <c r="V24" s="4">
        <f>'Input data'!V30-0.5</f>
        <v>1.1187590000000001</v>
      </c>
      <c r="W24" s="4">
        <f>'Input data'!W30-0.5</f>
        <v>1.1011329999999999</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42044.3</v>
      </c>
      <c r="D27" s="100">
        <f>+C27*(1+'Input data'!D33/100)</f>
        <v>43329.925139640996</v>
      </c>
      <c r="E27" s="100">
        <f>+D27*(1+'Input data'!E33/100)</f>
        <v>44260.154070800636</v>
      </c>
      <c r="F27" s="100">
        <f>+E27*(1+'Input data'!F33/100)</f>
        <v>45233.969964080257</v>
      </c>
      <c r="G27" s="34">
        <f>+F27*(1+'Input data'!G33/100)</f>
        <v>46351.368439873753</v>
      </c>
      <c r="H27" s="34">
        <f>+G27*(1+'Input data'!H33/100)</f>
        <v>47398.502401600002</v>
      </c>
      <c r="I27" s="34">
        <f>+H27*(1+'Input data'!I33/100)</f>
        <v>48404.005699817113</v>
      </c>
      <c r="J27" s="34">
        <f>+I27*(1+'Input data'!J33/100)</f>
        <v>49385.459840588308</v>
      </c>
      <c r="K27" s="4">
        <f>IF('Criteria results'!$F$5=4,J27*(1+'Input data'!K33/100-0.005),J27*(1+'Input data'!K33/100))</f>
        <v>50153.256078584542</v>
      </c>
      <c r="L27" s="4">
        <f>IF('Criteria results'!$F$5=4,K27*(1+'Input data'!L33/100-0.005),K27*(1+'Input data'!L33/100))</f>
        <v>50935.51497034698</v>
      </c>
      <c r="M27" s="4">
        <f>IF('Criteria results'!$F$5=4,L27*(1+'Input data'!M33/100-0.005),L27*(1+'Input data'!M33/100))</f>
        <v>51711.663725848193</v>
      </c>
      <c r="N27" s="4">
        <f>+M27*(1+'Input data'!N33/100-0.005)</f>
        <v>52434.34767144949</v>
      </c>
      <c r="O27" s="4">
        <f>+N27*(1+'Input data'!O33/100-0.005)</f>
        <v>53159.349531550477</v>
      </c>
      <c r="P27" s="4">
        <f>+O27*(1+'Input data'!P33/100-0.005)</f>
        <v>53874.190215416682</v>
      </c>
      <c r="Q27" s="4">
        <f>+P27*(1+'Input data'!Q33/100-0.005)</f>
        <v>54578.186347379524</v>
      </c>
      <c r="R27" s="4">
        <f>+Q27*(1+'Input data'!R33/100-0.005)</f>
        <v>55270.657456517314</v>
      </c>
      <c r="S27" s="4">
        <f>+R27*(1+'Input data'!S33/100-0.005)</f>
        <v>55967.667979809419</v>
      </c>
      <c r="T27" s="4">
        <f>+S27*(1+'Input data'!T33/100-0.005)</f>
        <v>56643.561522167591</v>
      </c>
      <c r="U27" s="4">
        <f>+T27*(1+'Input data'!U33/100-0.005)</f>
        <v>57296.643094142884</v>
      </c>
      <c r="V27" s="4">
        <f>+U27*(1+'Input data'!V33/100-0.005)</f>
        <v>57937.652726557208</v>
      </c>
      <c r="W27" s="4">
        <f>+V27*(1+'Input data'!W33/100-0.005)</f>
        <v>58575.622760778213</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0.12881651020471008</v>
      </c>
      <c r="D30" s="100">
        <f t="shared" si="4"/>
        <v>1.6110783520305594</v>
      </c>
      <c r="E30" s="100">
        <f t="shared" si="4"/>
        <v>-1.4274371306940981</v>
      </c>
      <c r="F30" s="100">
        <f t="shared" si="4"/>
        <v>-1.2186643417026688</v>
      </c>
      <c r="G30" s="34">
        <f t="shared" si="4"/>
        <v>-0.91610908214271314</v>
      </c>
      <c r="H30" s="34">
        <f t="shared" si="4"/>
        <v>-1.0903692249750407</v>
      </c>
      <c r="I30" s="34">
        <f t="shared" si="4"/>
        <v>-1.2063449030042639</v>
      </c>
      <c r="J30" s="34">
        <f t="shared" si="4"/>
        <v>-1.2835398955206245</v>
      </c>
      <c r="K30" s="34">
        <f t="shared" si="4"/>
        <v>-0.85569326368039045</v>
      </c>
      <c r="L30" s="34">
        <f t="shared" si="4"/>
        <v>-0.42784663184022298</v>
      </c>
      <c r="M30" s="34">
        <f t="shared" si="4"/>
        <v>0</v>
      </c>
      <c r="N30" s="34">
        <f t="shared" si="4"/>
        <v>9.8621735222792495E-7</v>
      </c>
      <c r="O30" s="34">
        <f t="shared" si="4"/>
        <v>3.9453025513225271E-6</v>
      </c>
      <c r="P30" s="34">
        <f t="shared" si="4"/>
        <v>5.9187652112768774E-6</v>
      </c>
      <c r="Q30" s="34">
        <f t="shared" si="4"/>
        <v>3.9445628097212193E-6</v>
      </c>
      <c r="R30" s="34">
        <f t="shared" si="4"/>
        <v>4.9320341144465374E-6</v>
      </c>
      <c r="S30" s="34">
        <f t="shared" si="4"/>
        <v>1.9693953801080966E-6</v>
      </c>
      <c r="T30" s="34">
        <f t="shared" si="4"/>
        <v>1.9693953579036361E-6</v>
      </c>
      <c r="U30" s="34">
        <f t="shared" si="4"/>
        <v>2.9579971361215485E-6</v>
      </c>
      <c r="V30" s="34">
        <f t="shared" si="4"/>
        <v>5.9248058459360209E-6</v>
      </c>
      <c r="W30" s="34">
        <f t="shared" si="4"/>
        <v>6.9139145075780561E-6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13.955157461405875</v>
      </c>
      <c r="D33" s="2">
        <f t="shared" si="5"/>
        <v>19.467028376067198</v>
      </c>
      <c r="E33" s="2">
        <f t="shared" si="5"/>
        <v>13.707449415840411</v>
      </c>
      <c r="F33" s="2">
        <f t="shared" si="5"/>
        <v>7.8448926524976592</v>
      </c>
      <c r="G33" s="1">
        <f t="shared" si="5"/>
        <v>6.6898877601293316</v>
      </c>
      <c r="H33" s="1">
        <f t="shared" si="5"/>
        <v>5.8829833926471009</v>
      </c>
      <c r="I33" s="1">
        <f t="shared" si="5"/>
        <v>5.7272304349907932</v>
      </c>
      <c r="J33" s="1">
        <f t="shared" si="5"/>
        <v>5.5963522501186969</v>
      </c>
      <c r="K33" s="1">
        <f t="shared" si="5"/>
        <v>5.5697550333814849</v>
      </c>
      <c r="L33" s="1">
        <f t="shared" si="5"/>
        <v>5.4978038382671679</v>
      </c>
      <c r="M33" s="1">
        <f t="shared" si="5"/>
        <v>5.3833205369174575</v>
      </c>
      <c r="N33" s="1">
        <f t="shared" si="5"/>
        <v>4.7271649974428787</v>
      </c>
      <c r="O33" s="1">
        <f t="shared" si="5"/>
        <v>4.6370722848000145</v>
      </c>
      <c r="P33" s="1">
        <f t="shared" si="5"/>
        <v>4.5872391564250048</v>
      </c>
      <c r="Q33" s="1">
        <f t="shared" si="5"/>
        <v>4.5374109067100044</v>
      </c>
      <c r="R33" s="1">
        <f t="shared" si="5"/>
        <v>4.4875978544500095</v>
      </c>
      <c r="S33" s="1">
        <f t="shared" si="5"/>
        <v>4.4690341094399955</v>
      </c>
      <c r="T33" s="1">
        <f t="shared" si="5"/>
        <v>4.4032815487500043</v>
      </c>
      <c r="U33" s="1">
        <f t="shared" si="5"/>
        <v>4.3362519029600088</v>
      </c>
      <c r="V33" s="1">
        <f t="shared" si="5"/>
        <v>4.2903488760350106</v>
      </c>
      <c r="W33" s="1">
        <f t="shared" si="5"/>
        <v>4.2615544175800268</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3.2392629999999998</v>
      </c>
      <c r="D36" s="100">
        <f>'Input data'!D37</f>
        <v>4.4184200000000002</v>
      </c>
      <c r="E36" s="100">
        <f>'Input data'!E37</f>
        <v>7.2293640000000003</v>
      </c>
      <c r="F36" s="100">
        <f>'Input data'!F37</f>
        <v>7.2143069999999998</v>
      </c>
      <c r="G36" s="100">
        <f>'Input data'!G37</f>
        <v>5.985741</v>
      </c>
      <c r="H36" s="34">
        <f t="shared" ref="H36:W36" si="6">H93</f>
        <v>6.1006442626004187</v>
      </c>
      <c r="I36" s="34">
        <f t="shared" si="6"/>
        <v>6.1883468017334327</v>
      </c>
      <c r="J36" s="34">
        <f t="shared" si="6"/>
        <v>6.2553067442008849</v>
      </c>
      <c r="K36" s="34">
        <f>K93</f>
        <v>6.3825391244805942</v>
      </c>
      <c r="L36" s="34">
        <f t="shared" si="6"/>
        <v>6.4627377092624378</v>
      </c>
      <c r="M36" s="34">
        <f t="shared" si="6"/>
        <v>6.5279233208955407</v>
      </c>
      <c r="N36" s="34">
        <f t="shared" si="6"/>
        <v>6.5799403106199268</v>
      </c>
      <c r="O36" s="34">
        <f t="shared" si="6"/>
        <v>6.6215299668805523</v>
      </c>
      <c r="P36" s="34">
        <f t="shared" si="6"/>
        <v>6.6426040657971814</v>
      </c>
      <c r="Q36" s="34">
        <f t="shared" si="6"/>
        <v>6.6532677852029067</v>
      </c>
      <c r="R36" s="34">
        <f t="shared" si="6"/>
        <v>6.6543056352570451</v>
      </c>
      <c r="S36" s="34">
        <f t="shared" si="6"/>
        <v>6.6463391475361586</v>
      </c>
      <c r="T36" s="34">
        <f t="shared" si="6"/>
        <v>6.6299041071078255</v>
      </c>
      <c r="U36" s="34">
        <f t="shared" si="6"/>
        <v>6.6055274906535466</v>
      </c>
      <c r="V36" s="34">
        <f t="shared" si="6"/>
        <v>6.5737162176357078</v>
      </c>
      <c r="W36" s="34">
        <f t="shared" si="6"/>
        <v>6.5349653716343408</v>
      </c>
    </row>
    <row r="37" spans="2:51" x14ac:dyDescent="0.2">
      <c r="B37" s="32" t="s">
        <v>94</v>
      </c>
      <c r="C37" s="1"/>
      <c r="D37" s="2">
        <f>'Input data'!D$39</f>
        <v>7.57</v>
      </c>
      <c r="E37" s="2">
        <f>'Input data'!E$39</f>
        <v>7.51</v>
      </c>
      <c r="F37" s="166">
        <f>'Input data'!F$39</f>
        <v>6.852957</v>
      </c>
      <c r="G37" s="166">
        <f>'Input data'!G$39</f>
        <v>7.0544219999999997</v>
      </c>
      <c r="H37" s="1">
        <f>$G$37+('Input data'!$C$52-$G$37)/($O$10-$G$10)*(H10-$G$10)</f>
        <v>6.9882267499999999</v>
      </c>
      <c r="I37" s="1">
        <f>$G$37+('Input data'!$C$52-$G$37)/($O$10-$G$10)*(I10-$G$10)</f>
        <v>6.9220315000000001</v>
      </c>
      <c r="J37" s="1">
        <f>$G$37+('Input data'!$C$52-$G$37)/($O$10-$G$10)*(J10-$G$10)</f>
        <v>6.8558362500000003</v>
      </c>
      <c r="K37" s="4">
        <f>IF('Criteria results'!$F$5=4,$G$37+('Input data'!$C$52-$G$37)/($O$10-$G$10)*(K10-$G$10)+0.5,$G$37+('Input data'!$C$52-$G$37)/($O$10-$G$10)*(K10-$G$10))</f>
        <v>7.2896409999999996</v>
      </c>
      <c r="L37" s="4">
        <f>IF('Criteria results'!$F$5=4,$G$37+('Input data'!$C$52-$G$37)/($O$10-$G$10)*(L10-$G$10)+0.5,$G$37+('Input data'!$C$52-$G$37)/($O$10-$G$10)*(L10-$G$10))</f>
        <v>7.2234457499999998</v>
      </c>
      <c r="M37" s="4">
        <f>IF('Criteria results'!$F$5=4,$G$37+('Input data'!$C$52-$G$37)/($O$10-$G$10)*(M10-$G$10)+0.5,$G$37+('Input data'!$C$52-$G$37)/($O$10-$G$10)*(M10-$G$10))</f>
        <v>7.1572505</v>
      </c>
      <c r="N37" s="3">
        <f>IF('Criteria results'!$F$5=4,$G$37+('Input data'!$C$52-$G$37)/($O$10-$G$10)*(N10-$G$10)+0.5,$G$37+('Input data'!$C$52-$G$37)/($O$10-$G$10)*(N10-$G$10)+0.5)</f>
        <v>7.0910552500000001</v>
      </c>
      <c r="O37" s="3">
        <f>'Input data'!$C$52+0.5</f>
        <v>7.0248600000000003</v>
      </c>
      <c r="P37" s="3">
        <f>'Baseline NFPC'!P36+0.5</f>
        <v>6.9486170000000005</v>
      </c>
      <c r="Q37" s="3">
        <f>'Baseline NFPC'!Q36+0.5</f>
        <v>6.8723740000000006</v>
      </c>
      <c r="R37" s="3">
        <f>'Baseline NFPC'!R36+0.5</f>
        <v>6.7961309999999999</v>
      </c>
      <c r="S37" s="3">
        <f>'Baseline NFPC'!S36+0.5</f>
        <v>6.7198880000000001</v>
      </c>
      <c r="T37" s="3">
        <f>'Baseline NFPC'!T36+0.5</f>
        <v>6.6436450000000002</v>
      </c>
      <c r="U37" s="3">
        <f>'Baseline NFPC'!U36+0.5</f>
        <v>6.5674020000000004</v>
      </c>
      <c r="V37" s="3">
        <f>'Baseline NFPC'!V36+0.5</f>
        <v>6.4911590000000006</v>
      </c>
      <c r="W37" s="3">
        <f>'Baseline NFPC'!W36+0.5</f>
        <v>6.4149159999999998</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10.32</v>
      </c>
      <c r="E38" s="2">
        <f>'Input data'!E$38</f>
        <v>15.97</v>
      </c>
      <c r="F38" s="166">
        <f>'Input data'!F$38</f>
        <v>7.4377000000000004</v>
      </c>
      <c r="G38" s="166">
        <f>'Input data'!G$38</f>
        <v>6.4500719999999996</v>
      </c>
      <c r="H38" s="1">
        <f>$G$38+('Input data'!$C$53-$G$38)/($O$10-$G$10)*(H10-$G$10)</f>
        <v>6.4235542499999996</v>
      </c>
      <c r="I38" s="1">
        <f>$G$38+('Input data'!$C$53-$G$38)/($O$10-$G$10)*(I10-$G$10)</f>
        <v>6.3970364999999996</v>
      </c>
      <c r="J38" s="1">
        <f>$G$38+('Input data'!$C$53-$G$38)/($O$10-$G$10)*(J10-$G$10)</f>
        <v>6.3705187499999996</v>
      </c>
      <c r="K38" s="4">
        <f>IF('Criteria results'!$F$5=4,$G$38+('Input data'!$C$53-$G$38)/($O$10-$G$10)*(K10-$G$10)+0.5,$G$38+('Input data'!$C$53-$G$38)/($O$10-$G$10)*(K10-$G$10))</f>
        <v>6.8440010000000004</v>
      </c>
      <c r="L38" s="4">
        <f>IF('Criteria results'!$F$5=4,$G$38+('Input data'!$C$53-$G$38)/($O$10-$G$10)*(L10-$G$10)+0.5,$G$38+('Input data'!$C$53-$G$38)/($O$10-$G$10)*(L10-$G$10))</f>
        <v>6.8174832500000004</v>
      </c>
      <c r="M38" s="4">
        <f>IF('Criteria results'!$F$5=4,$G$38+('Input data'!$C$53-$G$38)/($O$10-$G$10)*(M10-$G$10)+0.5,$G$38+('Input data'!$C$53-$G$38)/($O$10-$G$10)*(M10-$G$10))</f>
        <v>6.7909655000000004</v>
      </c>
      <c r="N38" s="3">
        <f>IF('Criteria results'!$F$5=4,$G$38+('Input data'!$C$53-$G$38)/($O$10-$G$10)*(N10-$G$10)+0.5,$G$38+('Input data'!$C$53-$G$38)/($O$10-$G$10)*(N10-$G$10)+0.5)</f>
        <v>6.7644477500000004</v>
      </c>
      <c r="O38" s="3">
        <f>'Input data'!$C$53+0.5</f>
        <v>6.7379300000000004</v>
      </c>
      <c r="P38" s="3">
        <f>'Baseline NFPC'!P37+0.5</f>
        <v>6.5510335000000008</v>
      </c>
      <c r="Q38" s="3">
        <f>'Baseline NFPC'!Q37+0.5</f>
        <v>6.3641370000000004</v>
      </c>
      <c r="R38" s="3">
        <f>'Baseline NFPC'!R37+0.5</f>
        <v>6.1772404999999999</v>
      </c>
      <c r="S38" s="3">
        <f>'Baseline NFPC'!S37+0.5</f>
        <v>5.9903440000000003</v>
      </c>
      <c r="T38" s="3">
        <f>'Baseline NFPC'!T37+0.5</f>
        <v>5.8034475000000008</v>
      </c>
      <c r="U38" s="3">
        <f>'Baseline NFPC'!U37+0.5</f>
        <v>5.6165510000000003</v>
      </c>
      <c r="V38" s="3">
        <f>'Baseline NFPC'!V37+0.5</f>
        <v>5.4296544999999998</v>
      </c>
      <c r="W38" s="3">
        <f>'Baseline NFPC'!W37+0.5</f>
        <v>5.2427580000000003</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7.9358789999999998E-2</v>
      </c>
      <c r="D39" s="34">
        <f>'Baseline NFPC'!D38</f>
        <v>6.020197E-2</v>
      </c>
      <c r="E39" s="34">
        <f>'Baseline NFPC'!E38</f>
        <v>5.0460409999999997E-2</v>
      </c>
      <c r="F39" s="34">
        <f>'Baseline NFPC'!F38</f>
        <v>6.7433850000000004E-2</v>
      </c>
      <c r="G39" s="34">
        <f>'Baseline NFPC'!G38</f>
        <v>6.8616281111111108E-2</v>
      </c>
      <c r="H39" s="34">
        <f>'Baseline NFPC'!H38</f>
        <v>6.9798712222222226E-2</v>
      </c>
      <c r="I39" s="34">
        <f>'Baseline NFPC'!I38</f>
        <v>7.098114333333333E-2</v>
      </c>
      <c r="J39" s="34">
        <f>'Baseline NFPC'!J38</f>
        <v>7.2163574444444448E-2</v>
      </c>
      <c r="K39" s="34">
        <f>'Baseline NFPC'!K38</f>
        <v>7.3346005555555552E-2</v>
      </c>
      <c r="L39" s="34">
        <f>'Baseline NFPC'!L38</f>
        <v>7.452843666666667E-2</v>
      </c>
      <c r="M39" s="34">
        <f>'Baseline NFPC'!M38</f>
        <v>7.5710867777777774E-2</v>
      </c>
      <c r="N39" s="34">
        <f>'Baseline NFPC'!N38</f>
        <v>7.6893298888888878E-2</v>
      </c>
      <c r="O39" s="34">
        <f>'Baseline NFPC'!O38</f>
        <v>7.8075729999999996E-2</v>
      </c>
      <c r="P39" s="34">
        <f>'Baseline NFPC'!P38</f>
        <v>7.8075729999999996E-2</v>
      </c>
      <c r="Q39" s="34">
        <f>'Baseline NFPC'!Q38</f>
        <v>7.8075729999999996E-2</v>
      </c>
      <c r="R39" s="34">
        <f>'Baseline NFPC'!R38</f>
        <v>7.8075729999999996E-2</v>
      </c>
      <c r="S39" s="34">
        <f>'Baseline NFPC'!S38</f>
        <v>7.8075729999999996E-2</v>
      </c>
      <c r="T39" s="34">
        <f>'Baseline NFPC'!T38</f>
        <v>7.8075729999999996E-2</v>
      </c>
      <c r="U39" s="34">
        <f>'Baseline NFPC'!U38</f>
        <v>7.8075729999999996E-2</v>
      </c>
      <c r="V39" s="34">
        <f>'Baseline NFPC'!V38</f>
        <v>7.8075729999999996E-2</v>
      </c>
      <c r="W39" s="34">
        <f>'Baseline NFPC'!W38</f>
        <v>7.8075729999999996E-2</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6.4392469999999999</v>
      </c>
      <c r="D42" s="2">
        <f>'Input data'!D42</f>
        <v>14.231339999999999</v>
      </c>
      <c r="E42" s="2">
        <f>'Input data'!E42</f>
        <v>14.74901</v>
      </c>
      <c r="F42" s="2">
        <f>'Input data'!F42</f>
        <v>5.300141</v>
      </c>
      <c r="G42" s="2">
        <f>'Input data'!G42</f>
        <v>3.7999740000000002</v>
      </c>
      <c r="H42" s="1">
        <f>'Baseline NFPC'!H41</f>
        <v>3.72622725</v>
      </c>
      <c r="I42" s="1">
        <f>'Baseline NFPC'!I41</f>
        <v>3.6524805000000002</v>
      </c>
      <c r="J42" s="1">
        <f>'Baseline NFPC'!J41</f>
        <v>3.57873375</v>
      </c>
      <c r="K42" s="1">
        <f>'Baseline NFPC'!K41</f>
        <v>3.5049869999999999</v>
      </c>
      <c r="L42" s="1">
        <f>'Baseline NFPC'!L41</f>
        <v>3.4312402500000001</v>
      </c>
      <c r="M42" s="1">
        <f>'Baseline NFPC'!M41</f>
        <v>3.3574934999999999</v>
      </c>
      <c r="N42" s="1">
        <f>'Baseline NFPC'!N41</f>
        <v>3.2837467499999997</v>
      </c>
      <c r="O42" s="252">
        <f>'Baseline NFPC'!O41</f>
        <v>3.21</v>
      </c>
      <c r="P42" s="1">
        <f>'Baseline NFPC'!P41</f>
        <v>3.1995</v>
      </c>
      <c r="Q42" s="1">
        <f>'Baseline NFPC'!Q41</f>
        <v>3.1890000000000001</v>
      </c>
      <c r="R42" s="1">
        <f>'Baseline NFPC'!R41</f>
        <v>3.1785000000000001</v>
      </c>
      <c r="S42" s="1">
        <f>'Baseline NFPC'!S41</f>
        <v>3.1680000000000001</v>
      </c>
      <c r="T42" s="1">
        <f>'Baseline NFPC'!T41</f>
        <v>3.1574999999999998</v>
      </c>
      <c r="U42" s="1">
        <f>'Baseline NFPC'!U41</f>
        <v>3.1469999999999998</v>
      </c>
      <c r="V42" s="1">
        <f>'Baseline NFPC'!V41</f>
        <v>3.1364999999999998</v>
      </c>
      <c r="W42" s="1">
        <f>'Baseline NFPC'!W41</f>
        <v>3.1259999999999999</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1.002497</v>
      </c>
      <c r="D43" s="1">
        <f>'Baseline NFPC'!D42</f>
        <v>1.052827</v>
      </c>
      <c r="E43" s="1">
        <f>'Baseline NFPC'!E42</f>
        <v>0.98856089999999996</v>
      </c>
      <c r="F43" s="1">
        <f>'Baseline NFPC'!F42</f>
        <v>1.0111460000000001</v>
      </c>
      <c r="G43" s="1">
        <f>'Baseline NFPC'!G42</f>
        <v>1.001916</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0.45300000000000001</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-0.61073938809514206</v>
      </c>
      <c r="I51" s="34">
        <f t="shared" si="7"/>
        <v>-0.72691281665002716</v>
      </c>
      <c r="J51" s="34">
        <f t="shared" si="7"/>
        <v>-0.80422993533617593</v>
      </c>
      <c r="K51" s="34">
        <f t="shared" si="7"/>
        <v>-0.85569326368041632</v>
      </c>
      <c r="L51" s="34">
        <f t="shared" si="7"/>
        <v>-0.42784663184020816</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4.5834080000000004</v>
      </c>
      <c r="E52" s="34">
        <f>'Input data'!E30-$C$47*((E12-D12)-('Input data'!E13-'Input data'!D13))</f>
        <v>-0.90768590000000005</v>
      </c>
      <c r="F52" s="34">
        <f>'Input data'!F30-$C$47*((F12-E12)-('Input data'!F13-'Input data'!E13))</f>
        <v>2.4166650000000001</v>
      </c>
      <c r="G52" s="34">
        <f>'Input data'!G30-$C$47*((G12-F12))</f>
        <v>2.7841179999999999</v>
      </c>
      <c r="H52" s="34">
        <f>'Input data'!H30-$C$47*((H12-G12))</f>
        <v>1.9144060000000001</v>
      </c>
      <c r="I52" s="34">
        <f>'Input data'!I30-$C$47*((I12-H12))</f>
        <v>1.8261859999999999</v>
      </c>
      <c r="J52" s="34">
        <f>'Input data'!J30-$C$47*((J12-I12))</f>
        <v>1.6322459999999999</v>
      </c>
      <c r="K52" s="4">
        <f>'Adverse (r-g)'!K24-$C$47*(K12-J12)</f>
        <v>1.5546989999999998</v>
      </c>
      <c r="L52" s="4">
        <f>'Adverse (r-g)'!L24-$C$47*(L12-K12)</f>
        <v>1.559733</v>
      </c>
      <c r="M52" s="4">
        <f>'Adverse (r-g)'!M24-$C$47*(M12-L12)</f>
        <v>1.523784</v>
      </c>
      <c r="N52" s="4">
        <f>'Adverse (r-g)'!N24-$C$47*((N12-M12))</f>
        <v>1.397527</v>
      </c>
      <c r="O52" s="4">
        <f>'Adverse (r-g)'!O24-$C$47*((O12-N12))</f>
        <v>1.3826879999999999</v>
      </c>
      <c r="P52" s="4">
        <f>'Adverse (r-g)'!P24-$C$47*((P12-O12))</f>
        <v>1.3447150000000001</v>
      </c>
      <c r="Q52" s="4">
        <f>'Adverse (r-g)'!Q24-$C$47*((Q12-P12))</f>
        <v>1.3067390000000001</v>
      </c>
      <c r="R52" s="4">
        <f>'Adverse (r-g)'!R24-$C$47*((R12-Q12))</f>
        <v>1.26877</v>
      </c>
      <c r="S52" s="4">
        <f>'Adverse (r-g)'!S24-$C$47*((S12-R12))</f>
        <v>1.261083</v>
      </c>
      <c r="T52" s="4">
        <f>'Adverse (r-g)'!T24-$C$47*((T12-S12))</f>
        <v>1.2076499999999999</v>
      </c>
      <c r="U52" s="4">
        <f>'Adverse (r-g)'!U24-$C$47*((U12-T12))</f>
        <v>1.152968</v>
      </c>
      <c r="V52" s="4">
        <f>'Adverse (r-g)'!V24-$C$47*((V12-U12))</f>
        <v>1.1187590000000001</v>
      </c>
      <c r="W52" s="4">
        <f>'Adverse (r-g)'!W24-$C$47*((W12-V12))</f>
        <v>1.1011329999999999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76.688640000000007</v>
      </c>
      <c r="D57" s="45">
        <f>+C57+D58</f>
        <v>74.056958506530151</v>
      </c>
      <c r="E57" s="45">
        <f>+D57+E58</f>
        <v>73.520357526734585</v>
      </c>
      <c r="F57" s="45">
        <f t="shared" ref="F57:T57" si="8">+E57+F58</f>
        <v>74.287964673525892</v>
      </c>
      <c r="G57" s="45">
        <f t="shared" si="8"/>
        <v>73.854222000134087</v>
      </c>
      <c r="H57" s="45">
        <f t="shared" si="8"/>
        <v>73.145093744834028</v>
      </c>
      <c r="I57" s="45">
        <f t="shared" si="8"/>
        <v>71.995695653916613</v>
      </c>
      <c r="J57" s="45">
        <f t="shared" si="8"/>
        <v>70.351529341469288</v>
      </c>
      <c r="K57" s="45">
        <f t="shared" si="8"/>
        <v>68.618985811698238</v>
      </c>
      <c r="L57" s="45">
        <f t="shared" si="8"/>
        <v>66.822586024199808</v>
      </c>
      <c r="M57" s="45">
        <f t="shared" si="8"/>
        <v>65.010416332265507</v>
      </c>
      <c r="N57" s="45">
        <f t="shared" si="8"/>
        <v>63.723386659651595</v>
      </c>
      <c r="O57" s="46">
        <f t="shared" si="8"/>
        <v>62.62377470451716</v>
      </c>
      <c r="P57" s="46">
        <f t="shared" si="8"/>
        <v>61.700425614826223</v>
      </c>
      <c r="Q57" s="46">
        <f t="shared" si="8"/>
        <v>60.982077359007405</v>
      </c>
      <c r="R57" s="46">
        <f t="shared" si="8"/>
        <v>60.492020685101522</v>
      </c>
      <c r="S57" s="46">
        <f t="shared" si="8"/>
        <v>60.215406453940737</v>
      </c>
      <c r="T57" s="46">
        <f t="shared" si="8"/>
        <v>60.184695778798925</v>
      </c>
      <c r="U57" s="46">
        <f t="shared" ref="U57" si="9">+T57+U58</f>
        <v>60.413483015085674</v>
      </c>
      <c r="V57" s="46">
        <f t="shared" ref="V57" si="10">+U57+V58</f>
        <v>60.90406038065688</v>
      </c>
      <c r="W57" s="46">
        <f t="shared" ref="W57" si="11">+V57+W58</f>
        <v>61.671355435283907</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-2.6316814934698511</v>
      </c>
      <c r="E58" s="47">
        <f>-E59+E67+E72</f>
        <v>-0.53660097979557264</v>
      </c>
      <c r="F58" s="47">
        <f t="shared" ref="F58:T58" si="12">-F59+F67+F72</f>
        <v>0.76760714679131259</v>
      </c>
      <c r="G58" s="47">
        <f t="shared" si="12"/>
        <v>-0.43374267339180306</v>
      </c>
      <c r="H58" s="47">
        <f t="shared" si="12"/>
        <v>-0.70912825530005552</v>
      </c>
      <c r="I58" s="47">
        <f t="shared" si="12"/>
        <v>-1.1493980909174168</v>
      </c>
      <c r="J58" s="47">
        <f t="shared" si="12"/>
        <v>-1.6441663124473207</v>
      </c>
      <c r="K58" s="47">
        <f t="shared" si="12"/>
        <v>-1.7325435297710507</v>
      </c>
      <c r="L58" s="47">
        <f t="shared" si="12"/>
        <v>-1.7963997874984363</v>
      </c>
      <c r="M58" s="47">
        <f t="shared" si="12"/>
        <v>-1.8121696919343062</v>
      </c>
      <c r="N58" s="47">
        <f t="shared" si="12"/>
        <v>-1.2870296726139117</v>
      </c>
      <c r="O58" s="47">
        <f t="shared" si="12"/>
        <v>-1.0996119551344337</v>
      </c>
      <c r="P58" s="47">
        <f t="shared" si="12"/>
        <v>-0.92334908969093732</v>
      </c>
      <c r="Q58" s="47">
        <f t="shared" si="12"/>
        <v>-0.7183482558188139</v>
      </c>
      <c r="R58" s="47">
        <f t="shared" si="12"/>
        <v>-0.4900566739058827</v>
      </c>
      <c r="S58" s="47">
        <f t="shared" si="12"/>
        <v>-0.27661423116078332</v>
      </c>
      <c r="T58" s="47">
        <f t="shared" si="12"/>
        <v>-3.0710675141815358E-2</v>
      </c>
      <c r="U58" s="47">
        <f t="shared" ref="U58:W58" si="13">-U59+U67+U72</f>
        <v>0.22878723628675135</v>
      </c>
      <c r="V58" s="47">
        <f t="shared" si="13"/>
        <v>0.49057736557120823</v>
      </c>
      <c r="W58" s="47">
        <f t="shared" si="13"/>
        <v>0.76729505462702829</v>
      </c>
    </row>
    <row r="59" spans="2:48" outlineLevel="1" x14ac:dyDescent="0.2">
      <c r="B59" s="84" t="s">
        <v>106</v>
      </c>
      <c r="C59" s="48"/>
      <c r="D59" s="48">
        <f>D60+D61-D62-D63-D64-D65-D66</f>
        <v>-3.3918265065301565</v>
      </c>
      <c r="E59" s="48">
        <f t="shared" ref="E59:T59" si="14">E60+E61-E62-E63-E64-E65-E66</f>
        <v>-1.9835450202044265</v>
      </c>
      <c r="F59" s="48">
        <f t="shared" si="14"/>
        <v>-0.51716924679130893</v>
      </c>
      <c r="G59" s="48">
        <f t="shared" si="14"/>
        <v>0.27988828578935099</v>
      </c>
      <c r="H59" s="48">
        <f t="shared" si="14"/>
        <v>0.86094844108630664</v>
      </c>
      <c r="I59" s="48">
        <f t="shared" si="14"/>
        <v>1.4684114589390687</v>
      </c>
      <c r="J59" s="48">
        <f t="shared" si="14"/>
        <v>2.0934421273291575</v>
      </c>
      <c r="K59" s="48">
        <f t="shared" si="14"/>
        <v>2.2741816515527828</v>
      </c>
      <c r="L59" s="48">
        <f t="shared" si="14"/>
        <v>2.4240221757763787</v>
      </c>
      <c r="M59" s="48">
        <f t="shared" si="14"/>
        <v>2.5379517000000007</v>
      </c>
      <c r="N59" s="48">
        <f t="shared" si="14"/>
        <v>2.4371581467564614</v>
      </c>
      <c r="O59" s="48">
        <f t="shared" si="14"/>
        <v>2.3081354872220556</v>
      </c>
      <c r="P59" s="48">
        <f t="shared" si="14"/>
        <v>2.1540413812006407</v>
      </c>
      <c r="Q59" s="48">
        <f t="shared" si="14"/>
        <v>1.9671764868869532</v>
      </c>
      <c r="R59" s="48">
        <f t="shared" si="14"/>
        <v>1.7546119342114546</v>
      </c>
      <c r="S59" s="48">
        <f t="shared" si="14"/>
        <v>1.5373665921361077</v>
      </c>
      <c r="T59" s="48">
        <f t="shared" si="14"/>
        <v>1.3149325921360984</v>
      </c>
      <c r="U59" s="48">
        <f t="shared" ref="U59:W59" si="15">U60+U61-U62-U63-U64-U65-U66</f>
        <v>1.0802080399727045</v>
      </c>
      <c r="V59" s="48">
        <f t="shared" si="15"/>
        <v>0.83213538393704822</v>
      </c>
      <c r="W59" s="48">
        <f t="shared" si="15"/>
        <v>0.56071083200327276</v>
      </c>
    </row>
    <row r="60" spans="2:48" outlineLevel="1" x14ac:dyDescent="0.2">
      <c r="B60" s="79" t="s">
        <v>107</v>
      </c>
      <c r="C60" s="1"/>
      <c r="D60" s="1">
        <f>D12</f>
        <v>-4.121645</v>
      </c>
      <c r="E60" s="1">
        <f>E12</f>
        <v>-1.336916</v>
      </c>
      <c r="F60" s="1">
        <f>F12</f>
        <v>3.4885699999999999E-2</v>
      </c>
      <c r="G60" s="1">
        <f t="shared" ref="G60:W60" si="16">IF(G12="",F60,G12)</f>
        <v>0.69488570000000005</v>
      </c>
      <c r="H60" s="1">
        <f t="shared" si="16"/>
        <v>1.3548857000000001</v>
      </c>
      <c r="I60" s="1">
        <f t="shared" si="16"/>
        <v>2.0148857000000002</v>
      </c>
      <c r="J60" s="1">
        <f t="shared" si="16"/>
        <v>2.6748857000000004</v>
      </c>
      <c r="K60" s="1">
        <f t="shared" si="16"/>
        <v>2.6748857000000004</v>
      </c>
      <c r="L60" s="1">
        <f t="shared" si="16"/>
        <v>2.6748857000000004</v>
      </c>
      <c r="M60" s="1">
        <f t="shared" si="16"/>
        <v>2.6748857000000004</v>
      </c>
      <c r="N60" s="1">
        <f t="shared" si="16"/>
        <v>2.6748857000000004</v>
      </c>
      <c r="O60" s="1">
        <f t="shared" si="16"/>
        <v>2.6748857000000004</v>
      </c>
      <c r="P60" s="1">
        <f t="shared" si="16"/>
        <v>2.6748857000000004</v>
      </c>
      <c r="Q60" s="1">
        <f t="shared" si="16"/>
        <v>2.6748857000000004</v>
      </c>
      <c r="R60" s="1">
        <f t="shared" si="16"/>
        <v>2.6748857000000004</v>
      </c>
      <c r="S60" s="1">
        <f t="shared" si="16"/>
        <v>2.6748857000000004</v>
      </c>
      <c r="T60" s="1">
        <f t="shared" si="16"/>
        <v>2.6748857000000004</v>
      </c>
      <c r="U60" s="1">
        <f t="shared" si="16"/>
        <v>2.6748857000000004</v>
      </c>
      <c r="V60" s="1">
        <f t="shared" si="16"/>
        <v>2.6748857000000004</v>
      </c>
      <c r="W60" s="1">
        <f t="shared" si="16"/>
        <v>2.6748857000000004</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-0.7298184934698434</v>
      </c>
      <c r="E62" s="1">
        <f t="shared" si="17"/>
        <v>0.64662902020442647</v>
      </c>
      <c r="F62" s="1">
        <f t="shared" si="17"/>
        <v>0.55205494679130895</v>
      </c>
      <c r="G62" s="1">
        <f t="shared" si="17"/>
        <v>0.41499741421064906</v>
      </c>
      <c r="H62" s="1">
        <f t="shared" si="17"/>
        <v>0.49393725891369344</v>
      </c>
      <c r="I62" s="1">
        <f t="shared" si="17"/>
        <v>0.54647424106093156</v>
      </c>
      <c r="J62" s="1">
        <f t="shared" si="17"/>
        <v>0.5814435726708429</v>
      </c>
      <c r="K62" s="1">
        <f t="shared" si="17"/>
        <v>0.38762904844721691</v>
      </c>
      <c r="L62" s="1">
        <f t="shared" si="17"/>
        <v>0.19381452422362103</v>
      </c>
      <c r="M62" s="1">
        <f t="shared" si="17"/>
        <v>0</v>
      </c>
      <c r="N62" s="1">
        <f t="shared" si="17"/>
        <v>-4.4675646055924999E-7</v>
      </c>
      <c r="O62" s="1">
        <f t="shared" si="17"/>
        <v>-1.7872220557491048E-6</v>
      </c>
      <c r="P62" s="1">
        <f t="shared" si="17"/>
        <v>-2.6812006407084254E-6</v>
      </c>
      <c r="Q62" s="1">
        <f t="shared" si="17"/>
        <v>-1.7868869528037124E-6</v>
      </c>
      <c r="R62" s="1">
        <f t="shared" si="17"/>
        <v>-2.2342114538442814E-6</v>
      </c>
      <c r="S62" s="1">
        <f t="shared" si="17"/>
        <v>-8.9213610718896776E-7</v>
      </c>
      <c r="T62" s="1">
        <f t="shared" si="17"/>
        <v>-8.9213609713034712E-7</v>
      </c>
      <c r="U62" s="1">
        <f t="shared" si="17"/>
        <v>-1.3399727026630616E-6</v>
      </c>
      <c r="V62" s="1">
        <f t="shared" si="17"/>
        <v>-2.6839370482090176E-6</v>
      </c>
      <c r="W62" s="1">
        <f t="shared" si="17"/>
        <v>-3.1320032719328593E-6</v>
      </c>
    </row>
    <row r="63" spans="2:48" outlineLevel="1" x14ac:dyDescent="0.2">
      <c r="B63" s="79" t="s">
        <v>110</v>
      </c>
      <c r="C63" s="1"/>
      <c r="D63" s="1">
        <f t="shared" ref="D63:W63" si="18">-D13</f>
        <v>0</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1.2320000000000775E-2</v>
      </c>
      <c r="L64" s="1">
        <f>IF(L$56&lt;=$C$6,0,HLOOKUP(L$56,'Input data'!$C$9:$BB$26,12,FALSE)-HLOOKUP($C$6,'Input data'!$C$9:$BB$26,12,FALSE))</f>
        <v>5.5540000000000589E-2</v>
      </c>
      <c r="M64" s="1">
        <f>IF(M$56&lt;=$C$6,0,HLOOKUP(M$56,'Input data'!$C$9:$BB$26,12,FALSE)-HLOOKUP($C$6,'Input data'!$C$9:$BB$26,12,FALSE))</f>
        <v>0.13466999999999985</v>
      </c>
      <c r="N64" s="1">
        <f>IF(N$56&lt;=$C$6,0,HLOOKUP(N$56,'Input data'!$C$9:$BB$26,12,FALSE)-HLOOKUP($C$6,'Input data'!$C$9:$BB$26,12,FALSE))</f>
        <v>0.23470999999999975</v>
      </c>
      <c r="O64" s="1">
        <f>IF(O$56&lt;=$C$6,0,HLOOKUP(O$56,'Input data'!$C$9:$BB$26,12,FALSE)-HLOOKUP($C$6,'Input data'!$C$9:$BB$26,12,FALSE))</f>
        <v>0.3629800000000003</v>
      </c>
      <c r="P64" s="1">
        <f>IF(P$56&lt;=$C$6,0,HLOOKUP(P$56,'Input data'!$C$9:$BB$26,12,FALSE)-HLOOKUP($C$6,'Input data'!$C$9:$BB$26,12,FALSE))</f>
        <v>0.51632000000000033</v>
      </c>
      <c r="Q64" s="1">
        <f>IF(Q$56&lt;=$C$6,0,HLOOKUP(Q$56,'Input data'!$C$9:$BB$26,12,FALSE)-HLOOKUP($C$6,'Input data'!$C$9:$BB$26,12,FALSE))</f>
        <v>0.70242999999999967</v>
      </c>
      <c r="R64" s="1">
        <f>IF(R$56&lt;=$C$6,0,HLOOKUP(R$56,'Input data'!$C$9:$BB$26,12,FALSE)-HLOOKUP($C$6,'Input data'!$C$9:$BB$26,12,FALSE))</f>
        <v>0.9142399999999995</v>
      </c>
      <c r="S64" s="1">
        <f>IF(S$56&lt;=$C$6,0,HLOOKUP(S$56,'Input data'!$C$9:$BB$26,12,FALSE)-HLOOKUP($C$6,'Input data'!$C$9:$BB$26,12,FALSE))</f>
        <v>1.1307299999999998</v>
      </c>
      <c r="T64" s="1">
        <f>IF(T$56&lt;=$C$6,0,HLOOKUP(T$56,'Input data'!$C$9:$BB$26,12,FALSE)-HLOOKUP($C$6,'Input data'!$C$9:$BB$26,12,FALSE))</f>
        <v>1.352409999999999</v>
      </c>
      <c r="U64" s="1">
        <f>IF(U$56&lt;=$C$6,0,HLOOKUP(U$56,'Input data'!$C$9:$BB$26,12,FALSE)-HLOOKUP($C$6,'Input data'!$C$9:$BB$26,12,FALSE))</f>
        <v>1.5863799999999983</v>
      </c>
      <c r="V64" s="1">
        <f>IF(V$56&lt;=$C$6,0,HLOOKUP(V$56,'Input data'!$C$9:$BB$26,12,FALSE)-HLOOKUP($C$6,'Input data'!$C$9:$BB$26,12,FALSE))</f>
        <v>1.8337000000000003</v>
      </c>
      <c r="W64" s="1">
        <f>IF(W$56&lt;=$C$6,0,HLOOKUP(W$56,'Input data'!$C$9:$BB$26,12,FALSE)-HLOOKUP($C$6,'Input data'!$C$9:$BB$26,12,FALSE))</f>
        <v>2.1043699999999994</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7.5500000000006118E-4</v>
      </c>
      <c r="L65" s="1">
        <f>IF(L$56&lt;=$C$6,0,-HLOOKUP(L$56,'Input data'!$C$9:$BB$26,18,FALSE)+HLOOKUP($C$6,'Input data'!$C$9:$BB$26,18,FALSE))</f>
        <v>1.5089999999999826E-3</v>
      </c>
      <c r="M65" s="1">
        <f>IF(M$56&lt;=$C$6,0,-HLOOKUP(M$56,'Input data'!$C$9:$BB$26,18,FALSE)+HLOOKUP($C$6,'Input data'!$C$9:$BB$26,18,FALSE))</f>
        <v>2.2640000000000438E-3</v>
      </c>
      <c r="N65" s="1">
        <f>IF(N$56&lt;=$C$6,0,-HLOOKUP(N$56,'Input data'!$C$9:$BB$26,18,FALSE)+HLOOKUP($C$6,'Input data'!$C$9:$BB$26,18,FALSE))</f>
        <v>3.0179999999999652E-3</v>
      </c>
      <c r="O65" s="1">
        <f>IF(O$56&lt;=$C$6,0,-HLOOKUP(O$56,'Input data'!$C$9:$BB$26,18,FALSE)+HLOOKUP($C$6,'Input data'!$C$9:$BB$26,18,FALSE))</f>
        <v>3.7720000000001086E-3</v>
      </c>
      <c r="P65" s="1">
        <f>IF(P$56&lt;=$C$6,0,-HLOOKUP(P$56,'Input data'!$C$9:$BB$26,18,FALSE)+HLOOKUP($C$6,'Input data'!$C$9:$BB$26,18,FALSE))</f>
        <v>4.5269999999999477E-3</v>
      </c>
      <c r="Q65" s="1">
        <f>IF(Q$56&lt;=$C$6,0,-HLOOKUP(Q$56,'Input data'!$C$9:$BB$26,18,FALSE)+HLOOKUP($C$6,'Input data'!$C$9:$BB$26,18,FALSE))</f>
        <v>5.2810000000000912E-3</v>
      </c>
      <c r="R65" s="1">
        <f>IF(R$56&lt;=$C$6,0,-HLOOKUP(R$56,'Input data'!$C$9:$BB$26,18,FALSE)+HLOOKUP($C$6,'Input data'!$C$9:$BB$26,18,FALSE))</f>
        <v>6.0359999999999303E-3</v>
      </c>
      <c r="S65" s="1">
        <f>IF(S$56&lt;=$C$6,0,-HLOOKUP(S$56,'Input data'!$C$9:$BB$26,18,FALSE)+HLOOKUP($C$6,'Input data'!$C$9:$BB$26,18,FALSE))</f>
        <v>6.7900000000000738E-3</v>
      </c>
      <c r="T65" s="1">
        <f>IF(T$56&lt;=$C$6,0,-HLOOKUP(T$56,'Input data'!$C$9:$BB$26,18,FALSE)+HLOOKUP($C$6,'Input data'!$C$9:$BB$26,18,FALSE))</f>
        <v>7.5439999999999952E-3</v>
      </c>
      <c r="U65" s="1">
        <f>IF(U$56&lt;=$C$6,0,-HLOOKUP(U$56,'Input data'!$C$9:$BB$26,18,FALSE)+HLOOKUP($C$6,'Input data'!$C$9:$BB$26,18,FALSE))</f>
        <v>8.2990000000000563E-3</v>
      </c>
      <c r="V65" s="1">
        <f>IF(V$56&lt;=$C$6,0,-HLOOKUP(V$56,'Input data'!$C$9:$BB$26,18,FALSE)+HLOOKUP($C$6,'Input data'!$C$9:$BB$26,18,FALSE))</f>
        <v>9.0529999999999777E-3</v>
      </c>
      <c r="W65" s="1">
        <f>IF(W$56&lt;=$C$6,0,-HLOOKUP(W$56,'Input data'!$C$9:$BB$26,18,FALSE)+HLOOKUP($C$6,'Input data'!$C$9:$BB$26,18,FALSE))</f>
        <v>9.8080000000000389E-3</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-9.5102200000000074</v>
      </c>
      <c r="E67" s="48">
        <f>SUM(E68:E71)</f>
        <v>-4.2729959999999991</v>
      </c>
      <c r="F67" s="48">
        <f t="shared" si="19"/>
        <v>-0.37506469999999642</v>
      </c>
      <c r="G67" s="48">
        <f t="shared" si="19"/>
        <v>-0.48234998760245207</v>
      </c>
      <c r="H67" s="48">
        <f t="shared" si="19"/>
        <v>0.15182018578625112</v>
      </c>
      <c r="I67" s="48">
        <f t="shared" si="19"/>
        <v>0.31901336802165181</v>
      </c>
      <c r="J67" s="48">
        <f t="shared" si="19"/>
        <v>0.44927581488183677</v>
      </c>
      <c r="K67" s="48">
        <f t="shared" si="19"/>
        <v>0.5416381217817321</v>
      </c>
      <c r="L67" s="48">
        <f t="shared" si="19"/>
        <v>0.62762238827794237</v>
      </c>
      <c r="M67" s="48">
        <f t="shared" si="19"/>
        <v>0.72578200806569448</v>
      </c>
      <c r="N67" s="48">
        <f t="shared" si="19"/>
        <v>1.1501284741425497</v>
      </c>
      <c r="O67" s="48">
        <f t="shared" si="19"/>
        <v>1.208523532087622</v>
      </c>
      <c r="P67" s="48">
        <f t="shared" si="19"/>
        <v>1.2306922915097034</v>
      </c>
      <c r="Q67" s="48">
        <f t="shared" si="19"/>
        <v>1.2488282310681393</v>
      </c>
      <c r="R67" s="48">
        <f t="shared" si="19"/>
        <v>1.2645552603055719</v>
      </c>
      <c r="S67" s="48">
        <f t="shared" si="19"/>
        <v>1.2607523609753244</v>
      </c>
      <c r="T67" s="48">
        <f t="shared" si="19"/>
        <v>1.284221916994283</v>
      </c>
      <c r="U67" s="48">
        <f t="shared" ref="U67:W67" si="20">SUM(U68:U71)</f>
        <v>1.3089952762594559</v>
      </c>
      <c r="V67" s="48">
        <f t="shared" si="20"/>
        <v>1.3227127495082565</v>
      </c>
      <c r="W67" s="48">
        <f t="shared" si="20"/>
        <v>1.3280058866303011</v>
      </c>
    </row>
    <row r="68" spans="2:23" outlineLevel="1" x14ac:dyDescent="0.2">
      <c r="B68" s="79" t="s">
        <v>115</v>
      </c>
      <c r="C68" s="34"/>
      <c r="D68" s="34">
        <f>C57*D36/100*(1/(1+D33/100))</f>
        <v>2.836285671073747</v>
      </c>
      <c r="E68" s="34">
        <f>D57*E36/100*(1/(1+E33/100))</f>
        <v>4.708440058475353</v>
      </c>
      <c r="F68" s="34">
        <f t="shared" ref="F68:W68" si="21">E57*F36/100*(1/(1+F33/100))</f>
        <v>4.9181599323084875</v>
      </c>
      <c r="G68" s="34">
        <f>F57*G36/100*(1/(1+G33/100))</f>
        <v>4.1678600033081201</v>
      </c>
      <c r="H68" s="34">
        <f t="shared" si="21"/>
        <v>4.2552478337630983</v>
      </c>
      <c r="I68" s="34">
        <f t="shared" si="21"/>
        <v>4.2812736612509488</v>
      </c>
      <c r="J68" s="34">
        <f t="shared" si="21"/>
        <v>4.2648742213239919</v>
      </c>
      <c r="K68" s="34">
        <f t="shared" si="21"/>
        <v>4.253314676604016</v>
      </c>
      <c r="L68" s="34">
        <f t="shared" si="21"/>
        <v>4.2035615059481266</v>
      </c>
      <c r="M68" s="34">
        <f t="shared" si="21"/>
        <v>4.1392956252228741</v>
      </c>
      <c r="N68" s="34">
        <f t="shared" si="21"/>
        <v>4.0845625778689092</v>
      </c>
      <c r="O68" s="34">
        <f t="shared" si="21"/>
        <v>4.0324743911942669</v>
      </c>
      <c r="P68" s="34">
        <f t="shared" si="21"/>
        <v>3.9773967055926214</v>
      </c>
      <c r="Q68" s="34">
        <f t="shared" si="21"/>
        <v>3.9269143028879236</v>
      </c>
      <c r="R68" s="34">
        <f t="shared" si="21"/>
        <v>3.8836511638920954</v>
      </c>
      <c r="S68" s="34">
        <f t="shared" si="21"/>
        <v>3.848513472152677</v>
      </c>
      <c r="T68" s="34">
        <f t="shared" si="21"/>
        <v>3.8238488736940335</v>
      </c>
      <c r="U68" s="34">
        <f t="shared" si="21"/>
        <v>3.8102927336629606</v>
      </c>
      <c r="V68" s="34">
        <f t="shared" si="21"/>
        <v>3.8080330283695845</v>
      </c>
      <c r="W68" s="34">
        <f t="shared" si="21"/>
        <v>3.8173795489894413</v>
      </c>
    </row>
    <row r="69" spans="2:23" outlineLevel="1" x14ac:dyDescent="0.2">
      <c r="B69" s="79" t="s">
        <v>116</v>
      </c>
      <c r="C69" s="34"/>
      <c r="D69" s="34">
        <f t="shared" ref="D69:W69" si="22">-C57*(D23/100)*(1/(1+D33/100))</f>
        <v>-2.9421952723110998</v>
      </c>
      <c r="E69" s="34">
        <f>-D57*(E23/100)*(1/(1+E33/100))</f>
        <v>0.59117021249355406</v>
      </c>
      <c r="F69" s="34">
        <f t="shared" si="22"/>
        <v>-1.6474964224300781</v>
      </c>
      <c r="G69" s="34">
        <f t="shared" si="22"/>
        <v>-1.9385760353964872</v>
      </c>
      <c r="H69" s="34">
        <f t="shared" si="22"/>
        <v>-1.4503125984805385</v>
      </c>
      <c r="I69" s="34">
        <f t="shared" si="22"/>
        <v>-1.3847915507067456</v>
      </c>
      <c r="J69" s="34">
        <f t="shared" si="22"/>
        <v>-1.3280856075960334</v>
      </c>
      <c r="K69" s="34">
        <f t="shared" si="22"/>
        <v>-1.3293643308521632</v>
      </c>
      <c r="L69" s="34">
        <f t="shared" si="22"/>
        <v>-1.2995647315351602</v>
      </c>
      <c r="M69" s="34">
        <f t="shared" si="22"/>
        <v>-1.2428301898404979</v>
      </c>
      <c r="N69" s="34">
        <f t="shared" si="22"/>
        <v>-0.86752861215903521</v>
      </c>
      <c r="O69" s="34">
        <f t="shared" si="22"/>
        <v>-0.84204919088184482</v>
      </c>
      <c r="P69" s="34">
        <f t="shared" si="22"/>
        <v>-0.80517594575601048</v>
      </c>
      <c r="Q69" s="34">
        <f t="shared" si="22"/>
        <v>-0.77126792952088763</v>
      </c>
      <c r="R69" s="34">
        <f t="shared" si="22"/>
        <v>-0.74049199981194813</v>
      </c>
      <c r="S69" s="34">
        <f t="shared" si="22"/>
        <v>-0.73022077376263439</v>
      </c>
      <c r="T69" s="34">
        <f t="shared" si="22"/>
        <v>-0.69652155109843339</v>
      </c>
      <c r="U69" s="34">
        <f t="shared" si="22"/>
        <v>-0.66507112395822554</v>
      </c>
      <c r="V69" s="34">
        <f t="shared" si="22"/>
        <v>-0.64807653414615762</v>
      </c>
      <c r="W69" s="34">
        <f t="shared" si="22"/>
        <v>-0.64322339230179904</v>
      </c>
    </row>
    <row r="70" spans="2:23" outlineLevel="1" x14ac:dyDescent="0.2">
      <c r="B70" s="79" t="s">
        <v>117</v>
      </c>
      <c r="C70" s="34"/>
      <c r="D70" s="34">
        <f t="shared" ref="D70:T70" si="23">-C57*D42/100*(1/(1+D42/100))</f>
        <v>-9.5541390828261328</v>
      </c>
      <c r="E70" s="34">
        <f>-D57*E42/100*(1/(1+E42/100))</f>
        <v>-9.518747234354338</v>
      </c>
      <c r="F70" s="34">
        <f t="shared" si="23"/>
        <v>-3.7005483331888849</v>
      </c>
      <c r="G70" s="34">
        <f t="shared" si="23"/>
        <v>-2.7195800094546931</v>
      </c>
      <c r="H70" s="34">
        <f t="shared" si="23"/>
        <v>-2.6531150494963089</v>
      </c>
      <c r="I70" s="34">
        <f t="shared" si="23"/>
        <v>-2.5774687425225511</v>
      </c>
      <c r="J70" s="34">
        <f t="shared" si="23"/>
        <v>-2.4875127988461214</v>
      </c>
      <c r="K70" s="34">
        <f t="shared" si="23"/>
        <v>-2.3823122239701204</v>
      </c>
      <c r="L70" s="34">
        <f t="shared" si="23"/>
        <v>-2.2763743861350241</v>
      </c>
      <c r="M70" s="34">
        <f t="shared" si="23"/>
        <v>-2.170683427316682</v>
      </c>
      <c r="N70" s="34">
        <f t="shared" si="23"/>
        <v>-2.0669054915673244</v>
      </c>
      <c r="O70" s="34">
        <f t="shared" si="23"/>
        <v>-1.9819016682248001</v>
      </c>
      <c r="P70" s="34">
        <f t="shared" si="23"/>
        <v>-1.9415284683269074</v>
      </c>
      <c r="Q70" s="34">
        <f t="shared" si="23"/>
        <v>-1.9068181422988966</v>
      </c>
      <c r="R70" s="34">
        <f t="shared" si="23"/>
        <v>-1.8786039037745756</v>
      </c>
      <c r="S70" s="34">
        <f t="shared" si="23"/>
        <v>-1.8575403374147181</v>
      </c>
      <c r="T70" s="34">
        <f t="shared" si="23"/>
        <v>-1.8431054056013172</v>
      </c>
      <c r="U70" s="34">
        <f t="shared" ref="U70" si="24">-T57*U42/100*(1/(1+U42/100))</f>
        <v>-1.8362263334452791</v>
      </c>
      <c r="V70" s="34">
        <f t="shared" ref="V70" si="25">-U57*V42/100*(1/(1+V42/100))</f>
        <v>-1.8372437447151704</v>
      </c>
      <c r="W70" s="34">
        <f t="shared" ref="W70" si="26">-V57*W42/100*(1/(1+W42/100))</f>
        <v>-1.8461502700573413</v>
      </c>
    </row>
    <row r="71" spans="2:23" outlineLevel="1" x14ac:dyDescent="0.2">
      <c r="B71" s="79" t="s">
        <v>118</v>
      </c>
      <c r="C71" s="49"/>
      <c r="D71" s="49">
        <f>'Baseline NFPC'!D70</f>
        <v>0.14982868406347905</v>
      </c>
      <c r="E71" s="49">
        <f>'Baseline NFPC'!E70</f>
        <v>-5.3859036614568367E-2</v>
      </c>
      <c r="F71" s="49">
        <f>'Baseline NFPC'!F70</f>
        <v>5.4820123310478863E-2</v>
      </c>
      <c r="G71" s="49">
        <f>'Baseline NFPC'!G70</f>
        <v>7.9460539406078778E-3</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3.4867119999999998</v>
      </c>
      <c r="E72" s="50">
        <f>'Input data'!E16</f>
        <v>1.75285</v>
      </c>
      <c r="F72" s="50">
        <f>'Input data'!F16</f>
        <v>0.62550260000000002</v>
      </c>
      <c r="G72" s="50">
        <f>'Input data'!G16</f>
        <v>0.3284956</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7">D14</f>
        <v>9.56404E-2</v>
      </c>
      <c r="E73" s="34">
        <f t="shared" si="27"/>
        <v>2.4978720000000001</v>
      </c>
      <c r="F73" s="34">
        <f t="shared" si="27"/>
        <v>-0.13437760000000001</v>
      </c>
      <c r="G73" s="34">
        <f t="shared" si="27"/>
        <v>0.1957401</v>
      </c>
      <c r="H73" s="34">
        <f t="shared" si="27"/>
        <v>0</v>
      </c>
      <c r="I73" s="34">
        <f t="shared" si="27"/>
        <v>0</v>
      </c>
      <c r="J73" s="34">
        <f t="shared" si="27"/>
        <v>0</v>
      </c>
      <c r="K73" s="34">
        <f t="shared" si="27"/>
        <v>0</v>
      </c>
      <c r="L73" s="34">
        <f t="shared" si="27"/>
        <v>0</v>
      </c>
      <c r="M73" s="34">
        <f t="shared" si="27"/>
        <v>0</v>
      </c>
      <c r="N73" s="34">
        <f t="shared" si="27"/>
        <v>0</v>
      </c>
      <c r="O73" s="34">
        <f t="shared" si="27"/>
        <v>0</v>
      </c>
      <c r="P73" s="34">
        <f t="shared" si="27"/>
        <v>0</v>
      </c>
      <c r="Q73" s="34">
        <f t="shared" si="27"/>
        <v>0</v>
      </c>
      <c r="R73" s="34">
        <f t="shared" si="27"/>
        <v>0</v>
      </c>
      <c r="S73" s="34">
        <f t="shared" si="27"/>
        <v>0</v>
      </c>
      <c r="T73" s="34">
        <f t="shared" si="27"/>
        <v>0</v>
      </c>
      <c r="U73" s="34">
        <f t="shared" si="27"/>
        <v>0</v>
      </c>
      <c r="V73" s="34">
        <f t="shared" si="27"/>
        <v>0</v>
      </c>
      <c r="W73" s="34">
        <f t="shared" si="27"/>
        <v>0</v>
      </c>
    </row>
    <row r="74" spans="2:23" outlineLevel="1" x14ac:dyDescent="0.2">
      <c r="B74" s="89" t="s">
        <v>121</v>
      </c>
      <c r="C74" s="49"/>
      <c r="D74" s="49">
        <f>+D72-D73</f>
        <v>3.3910715999999996</v>
      </c>
      <c r="E74" s="49">
        <f t="shared" ref="E74:T74" si="28">+E72-E73</f>
        <v>-0.74502200000000007</v>
      </c>
      <c r="F74" s="49">
        <f t="shared" si="28"/>
        <v>0.75988020000000001</v>
      </c>
      <c r="G74" s="49">
        <f t="shared" si="28"/>
        <v>0.1327555</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187</v>
      </c>
      <c r="C76" s="51"/>
      <c r="D76" s="51"/>
      <c r="E76" s="51"/>
      <c r="F76" s="51"/>
      <c r="G76" s="51"/>
      <c r="H76" s="51"/>
      <c r="I76" s="51"/>
      <c r="J76" s="51"/>
      <c r="K76" s="51">
        <f t="shared" ref="K76:W76" si="30">IF(K57&lt;J57,0,1)</f>
        <v>0</v>
      </c>
      <c r="L76" s="51">
        <f t="shared" si="30"/>
        <v>0</v>
      </c>
      <c r="M76" s="51">
        <f t="shared" si="30"/>
        <v>0</v>
      </c>
      <c r="N76" s="51">
        <f t="shared" si="30"/>
        <v>0</v>
      </c>
      <c r="O76" s="51">
        <f t="shared" si="30"/>
        <v>0</v>
      </c>
      <c r="P76" s="51">
        <f t="shared" si="30"/>
        <v>0</v>
      </c>
      <c r="Q76" s="51">
        <f t="shared" si="30"/>
        <v>0</v>
      </c>
      <c r="R76" s="51">
        <f t="shared" si="30"/>
        <v>0</v>
      </c>
      <c r="S76" s="51">
        <f t="shared" si="30"/>
        <v>0</v>
      </c>
      <c r="T76" s="51">
        <f t="shared" si="30"/>
        <v>0</v>
      </c>
      <c r="U76" s="51">
        <f t="shared" si="30"/>
        <v>1</v>
      </c>
      <c r="V76" s="51">
        <f t="shared" si="30"/>
        <v>1</v>
      </c>
      <c r="W76" s="51">
        <f t="shared" si="30"/>
        <v>1</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1</v>
      </c>
      <c r="F80" s="29">
        <f t="shared" ref="F80" si="32">IF((F84-E84*F43/((1+F23/100)*(1+F42/100)))&gt;0,1,0)</f>
        <v>1</v>
      </c>
      <c r="G80" s="29">
        <f t="shared" ref="G80:W80" si="33">IF((G84-F84*G43/((1+G23/100)*(1+G42/100)))&gt;0,1,0)</f>
        <v>1</v>
      </c>
      <c r="H80" s="29">
        <f t="shared" si="33"/>
        <v>1</v>
      </c>
      <c r="I80" s="29">
        <f t="shared" si="33"/>
        <v>1</v>
      </c>
      <c r="J80" s="29">
        <f t="shared" si="33"/>
        <v>1</v>
      </c>
      <c r="K80" s="29">
        <f t="shared" si="33"/>
        <v>1</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126</v>
      </c>
      <c r="E81" s="29">
        <f t="shared" ref="E81" si="34">IF(AND(E80=0,ABS(E84-D84*E43/((1+E23/100)*(1+E42/100)))&lt;((D90*D84*E43/((1+E23/100)*(1+E42/100))+(E39*D84*D91*E43/((1+E23/100)*(1+E42/100)))))),1,0)</f>
        <v>0</v>
      </c>
      <c r="F81" s="29">
        <f t="shared" ref="F81" si="35">IF(AND(F80=0,ABS(F84-E84*F43/((1+F23/100)*(1+F42/100)))&lt;((E90*E84*F43/((1+F23/100)*(1+F42/100))+(F39*E84*E91*F43/((1+F23/100)*(1+F42/100)))))),1,0)</f>
        <v>0</v>
      </c>
      <c r="G81" s="29">
        <f t="shared" ref="G81:W81" si="36">IF(AND(G80=0,ABS(G84-F84*G43/((1+G23/100)*(1+G42/100)))&lt;((F90*F84*G43/((1+G23/100)*(1+G42/100))+(G39*F84*F91*G43/((1+G23/100)*(1+G42/100)))))),1,0)</f>
        <v>0</v>
      </c>
      <c r="H81" s="29">
        <f t="shared" si="36"/>
        <v>0</v>
      </c>
      <c r="I81" s="29">
        <f t="shared" si="36"/>
        <v>0</v>
      </c>
      <c r="J81" s="29">
        <f t="shared" si="36"/>
        <v>0</v>
      </c>
      <c r="K81" s="29">
        <f t="shared" si="36"/>
        <v>0</v>
      </c>
      <c r="L81" s="29">
        <f t="shared" si="36"/>
        <v>0</v>
      </c>
      <c r="M81" s="29">
        <f t="shared" si="36"/>
        <v>0</v>
      </c>
      <c r="N81" s="29">
        <f t="shared" si="36"/>
        <v>0</v>
      </c>
      <c r="O81" s="29">
        <f t="shared" si="36"/>
        <v>0</v>
      </c>
      <c r="P81" s="29">
        <f t="shared" si="36"/>
        <v>0</v>
      </c>
      <c r="Q81" s="29">
        <f t="shared" si="36"/>
        <v>0</v>
      </c>
      <c r="R81" s="29">
        <f t="shared" si="36"/>
        <v>0</v>
      </c>
      <c r="S81" s="29">
        <f t="shared" si="36"/>
        <v>0</v>
      </c>
      <c r="T81" s="29">
        <f t="shared" si="36"/>
        <v>0</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76.688640000000007</v>
      </c>
      <c r="D84" s="110">
        <f>D57</f>
        <v>74.056958506530151</v>
      </c>
      <c r="E84" s="110">
        <f>E57</f>
        <v>73.520357526734585</v>
      </c>
      <c r="F84" s="110">
        <f>F57</f>
        <v>74.287964673525892</v>
      </c>
      <c r="G84" s="110">
        <f>G57</f>
        <v>73.854222000134087</v>
      </c>
      <c r="H84" s="110">
        <f>G84*(1+H98/100)*H43-H60-H61+H62+H63+H64+H65+H66+H72</f>
        <v>73.145093744834043</v>
      </c>
      <c r="I84" s="110">
        <f t="shared" ref="I84:T84" si="37">H84*(1+I98/100)*I43-I60-I61+I62+I63+I64+I65+I66+I72</f>
        <v>71.995695653916627</v>
      </c>
      <c r="J84" s="110">
        <f t="shared" si="37"/>
        <v>70.351529341469316</v>
      </c>
      <c r="K84" s="110">
        <f t="shared" si="37"/>
        <v>68.618985811698266</v>
      </c>
      <c r="L84" s="110">
        <f t="shared" si="37"/>
        <v>66.822586024199836</v>
      </c>
      <c r="M84" s="110">
        <f t="shared" si="37"/>
        <v>65.010416332265521</v>
      </c>
      <c r="N84" s="110">
        <f t="shared" si="37"/>
        <v>63.723386659651595</v>
      </c>
      <c r="O84" s="110">
        <f t="shared" si="37"/>
        <v>62.623774704517167</v>
      </c>
      <c r="P84" s="110">
        <f t="shared" si="37"/>
        <v>61.70042561482623</v>
      </c>
      <c r="Q84" s="110">
        <f t="shared" si="37"/>
        <v>60.982077359007405</v>
      </c>
      <c r="R84" s="110">
        <f t="shared" si="37"/>
        <v>60.492020685101537</v>
      </c>
      <c r="S84" s="110">
        <f t="shared" si="37"/>
        <v>60.215406453940766</v>
      </c>
      <c r="T84" s="110">
        <f t="shared" si="37"/>
        <v>60.184695778798954</v>
      </c>
      <c r="U84" s="110">
        <f>T84*(1+U98/100)*U43-U60-U61+U62+U63+U64+U65+U66+U72</f>
        <v>60.413483015085703</v>
      </c>
      <c r="V84" s="110">
        <f t="shared" ref="V84:W84" si="38">U84*(1+V98/100)*V43-V60-V61+V62+V63+V64+V65+V66+V72</f>
        <v>60.904060380656908</v>
      </c>
      <c r="W84" s="110">
        <f t="shared" si="38"/>
        <v>61.671355435283921</v>
      </c>
    </row>
    <row r="85" spans="2:23" x14ac:dyDescent="0.2">
      <c r="B85" s="26" t="s">
        <v>127</v>
      </c>
      <c r="C85" s="34"/>
      <c r="D85" s="254">
        <f>'Input data'!C66*$D$84</f>
        <v>59.783430721748871</v>
      </c>
      <c r="E85" s="34">
        <f t="shared" ref="E85" si="39">IF(E84=0,0,IF(E80=1,D84*E43/((1+E23/100)*(1+E42/100))-E86-E87,IF(AND(E80=0,E81=1),(1-D90-E39*D91)*D84*E43/((1+E23/100)*(1+E42/100)),E84)))</f>
        <v>57.543983859764516</v>
      </c>
      <c r="F85" s="34">
        <f t="shared" ref="F85" si="40">IF(F84=0,0,IF(F80=1,E84*F43/((1+F23/100)*(1+F42/100))-F86-F87,IF(AND(F80=0,F81=1),(1-E90-F39*E91)*E84*F43/((1+F23/100)*(1+F42/100)),F84)))</f>
        <v>60.461160881524357</v>
      </c>
      <c r="G85" s="34">
        <f t="shared" ref="G85" si="41">IF(G84=0,0,IF(G80=1,F84*G43/((1+G23/100)*(1+G42/100))-G86-G87,IF(AND(G80=0,G81=1),(1-F90-G39*F91)*F84*G43/((1+G23/100)*(1+G42/100)),G84)))</f>
        <v>61.088794442536802</v>
      </c>
      <c r="H85" s="34">
        <f t="shared" ref="H85:W85" si="42">IF(H84=0,0,IF(H80=1,G84*H43/((1+H23/100)*(1+H42/100))-H86-H87,IF(AND(H80=0,H81=1),(1-G90-H39*G91)*G84*H43/((1+H23/100)*(1+H42/100)),H84)))</f>
        <v>60.983492914591722</v>
      </c>
      <c r="I85" s="34">
        <f t="shared" si="42"/>
        <v>60.396800799453061</v>
      </c>
      <c r="J85" s="34">
        <f t="shared" si="42"/>
        <v>59.435195481754349</v>
      </c>
      <c r="K85" s="34">
        <f t="shared" si="42"/>
        <v>58.010723864863955</v>
      </c>
      <c r="L85" s="34">
        <f t="shared" si="42"/>
        <v>56.541596835598185</v>
      </c>
      <c r="M85" s="34">
        <f t="shared" si="42"/>
        <v>55.04479326980141</v>
      </c>
      <c r="N85" s="34">
        <f t="shared" si="42"/>
        <v>53.813356107810385</v>
      </c>
      <c r="O85" s="34">
        <f t="shared" si="42"/>
        <v>52.720516704610617</v>
      </c>
      <c r="P85" s="34">
        <f t="shared" si="42"/>
        <v>51.830078062379386</v>
      </c>
      <c r="Q85" s="34">
        <f t="shared" si="42"/>
        <v>51.084682376814051</v>
      </c>
      <c r="R85" s="34">
        <f t="shared" si="42"/>
        <v>50.508223769966364</v>
      </c>
      <c r="S85" s="34">
        <f t="shared" si="42"/>
        <v>50.105165722976295</v>
      </c>
      <c r="T85" s="34">
        <f t="shared" si="42"/>
        <v>49.901095006513685</v>
      </c>
      <c r="U85" s="34">
        <f t="shared" si="42"/>
        <v>49.901038605206168</v>
      </c>
      <c r="V85" s="34">
        <f t="shared" si="42"/>
        <v>50.105844866345436</v>
      </c>
      <c r="W85" s="34">
        <f t="shared" si="42"/>
        <v>50.51945060269491</v>
      </c>
    </row>
    <row r="86" spans="2:23" x14ac:dyDescent="0.2">
      <c r="B86" s="105" t="s">
        <v>128</v>
      </c>
      <c r="C86" s="34"/>
      <c r="D86" s="254">
        <f>'Input data'!C67*$D$84</f>
        <v>3.8296324056498472</v>
      </c>
      <c r="E86" s="34">
        <f t="shared" ref="E86" si="43">IF(E84=0,0,IF(E80=1,E39*D84*D91*E43/((1+E23/100)*(1+E42/100)),IF(AND(E80=0,E81=1),(E39*D84*D91*E43/((1+E23/100)*(1+E42/100)))*(1-ABS(E84-D84*E43/((1+E23/100)*(1+E42/100)))/((E39*D84*D91*E43/((1+E23/100)*(1+E42/100)))+(D90*D84*E43/((1+E23/100)*(1+E42/100))))),0)))</f>
        <v>3.0580010029883011</v>
      </c>
      <c r="F86" s="34">
        <f t="shared" ref="F86" si="44">IF(F84=0,0,IF(F80=1,F39*E84*E91*F43/((1+F23/100)*(1+F42/100)),IF(AND(F80=0,F81=1),(F39*E84*E91*F43/((1+F23/100)*(1+F42/100)))*(1-ABS(F84-E84*F43/((1+F23/100)*(1+F42/100)))/((F39*E84*E91*F43/((1+F23/100)*(1+F42/100)))+(E90*E84*F43/((1+F23/100)*(1+F42/100))))),0)))</f>
        <v>4.3719460048068246</v>
      </c>
      <c r="G86" s="34">
        <f t="shared" ref="G86" si="45">IF(G84=0,0,IF(G80=1,G39*F84*F91*G43/((1+G23/100)*(1+G42/100)),IF(AND(G80=0,G81=1),(G39*F84*F91*G43/((1+G23/100)*(1+G42/100)))*(1-ABS(G84-F84*G43/((1+G23/100)*(1+G42/100)))/((G39*F84*F91*G43/((1+G23/100)*(1+G42/100)))+(F90*F84*G43/((1+G23/100)*(1+G42/100))))),0)))</f>
        <v>4.5004929839320518</v>
      </c>
      <c r="H86" s="34">
        <f t="shared" ref="H86:W86" si="46">IF(H84=0,0,IF(H80=1,H39*G84*G91*H43/((1+H23/100)*(1+H42/100)),IF(AND(H80=0,H81=1),(H39*G84*G91*H43/((1+H23/100)*(1+H42/100)))*(1-ABS(H84-G84*H43/((1+H23/100)*(1+H42/100)))/((H39*G84*G91*H43/((1+H23/100)*(1+H42/100)))+(G90*G84*H43/((1+H23/100)*(1+H42/100))))),0)))</f>
        <v>4.5759657916840011</v>
      </c>
      <c r="I86" s="34">
        <f t="shared" si="46"/>
        <v>4.6145823022394827</v>
      </c>
      <c r="J86" s="34">
        <f t="shared" si="46"/>
        <v>4.6226425646089</v>
      </c>
      <c r="K86" s="34">
        <f t="shared" si="46"/>
        <v>4.5916327997107675</v>
      </c>
      <c r="L86" s="34">
        <f t="shared" si="46"/>
        <v>4.5533077252167402</v>
      </c>
      <c r="M86" s="34">
        <f t="shared" si="46"/>
        <v>4.508858667509549</v>
      </c>
      <c r="N86" s="34">
        <f t="shared" si="46"/>
        <v>4.4825657428674806</v>
      </c>
      <c r="O86" s="34">
        <f t="shared" si="46"/>
        <v>4.4647841060629281</v>
      </c>
      <c r="P86" s="34">
        <f t="shared" si="46"/>
        <v>4.3893748243304804</v>
      </c>
      <c r="Q86" s="34">
        <f t="shared" si="46"/>
        <v>4.3262489102146011</v>
      </c>
      <c r="R86" s="34">
        <f t="shared" si="46"/>
        <v>4.2774299041324468</v>
      </c>
      <c r="S86" s="34">
        <f t="shared" si="46"/>
        <v>4.2432958084424364</v>
      </c>
      <c r="T86" s="34">
        <f t="shared" si="46"/>
        <v>4.2260135102343162</v>
      </c>
      <c r="U86" s="34">
        <f t="shared" si="46"/>
        <v>4.2260087337321677</v>
      </c>
      <c r="V86" s="34">
        <f t="shared" si="46"/>
        <v>4.2433533235942171</v>
      </c>
      <c r="W86" s="34">
        <f t="shared" si="46"/>
        <v>4.2783806797974249</v>
      </c>
    </row>
    <row r="87" spans="2:23" x14ac:dyDescent="0.2">
      <c r="B87" s="105" t="s">
        <v>129</v>
      </c>
      <c r="C87" s="34"/>
      <c r="D87" s="254">
        <f>'Input data'!C68*$D$84</f>
        <v>3.9703023838181895</v>
      </c>
      <c r="E87" s="34">
        <f t="shared" ref="E87" si="47">IF(E84=0,0,IF(E80=1,(1-D91)*D84*E43/((1+E23/100)*(1+E42/100)),IF(AND(E80=0,E81=1),(D90*D84*E43/((1+E23/100)*(1+E42/100)))*(1-ABS(E84-D84*E43/((1+E23/100)*(1+E42/100)))/((E39*D84*D91*E43/((1+E23/100)*(1+E42/100)))+(D90*D84*E43/((1+E23/100)*(1+E42/100))))),0)))</f>
        <v>3.782375114175264</v>
      </c>
      <c r="F87" s="34">
        <f t="shared" ref="F87" si="48">IF(F84=0,0,IF(F80=1,(1-E91)*E84*F43/((1+F23/100)*(1+F42/100)),IF(AND(F80=0,F81=1),(E90*E84*F43/((1+F23/100)*(1+F42/100)))*(1-ABS(F84-E84*F43/((1+F23/100)*(1+F42/100)))/((F39*E84*E91*F43/((1+F23/100)*(1+F42/100)))+(E90*E84*F43/((1+F23/100)*(1+F42/100))))),0)))</f>
        <v>4.0990544829312858</v>
      </c>
      <c r="G87" s="34">
        <f t="shared" ref="G87" si="49">IF(G84=0,0,IF(G80=1,(1-F91)*F84*G43/((1+G23/100)*(1+G42/100)),IF(AND(G80=0,G81=1),(F90*F84*G43/((1+G23/100)*(1+G42/100)))*(1-ABS(G84-F84*G43/((1+G23/100)*(1+G42/100)))/((G39*F84*F91*G43/((1+G23/100)*(1+G42/100)))+(F90*F84*G43/((1+G23/100)*(1+G42/100))))),0)))</f>
        <v>4.1739319155383994</v>
      </c>
      <c r="H87" s="34">
        <f t="shared" ref="H87:W87" si="50">IF(H84=0,0,IF(H80=1,(1-G91)*G84*H43/((1+H23/100)*(1+H42/100)),IF(AND(H80=0,H81=1),(G90*G84*H43/((1+H23/100)*(1+H42/100)))*(1-ABS(H84-G84*H43/((1+H23/100)*(1+H42/100)))/((H39*G84*G91*H43/((1+H23/100)*(1+H42/100)))+(G90*G84*H43/((1+H23/100)*(1+H42/100))))),0)))</f>
        <v>4.1913356458815203</v>
      </c>
      <c r="I87" s="34">
        <f t="shared" si="50"/>
        <v>4.1714503499122033</v>
      </c>
      <c r="J87" s="34">
        <f t="shared" si="50"/>
        <v>4.1222592011112278</v>
      </c>
      <c r="K87" s="34">
        <f t="shared" si="50"/>
        <v>4.0374961220723069</v>
      </c>
      <c r="L87" s="34">
        <f t="shared" si="50"/>
        <v>3.9481421332131506</v>
      </c>
      <c r="M87" s="34">
        <f t="shared" si="50"/>
        <v>3.8554204697316936</v>
      </c>
      <c r="N87" s="34">
        <f t="shared" si="50"/>
        <v>3.7800603778612909</v>
      </c>
      <c r="O87" s="34">
        <f t="shared" si="50"/>
        <v>3.7141349898714062</v>
      </c>
      <c r="P87" s="34">
        <f t="shared" si="50"/>
        <v>3.6576174037243812</v>
      </c>
      <c r="Q87" s="34">
        <f t="shared" si="50"/>
        <v>3.6114082559777958</v>
      </c>
      <c r="R87" s="34">
        <f t="shared" si="50"/>
        <v>3.5773277813220696</v>
      </c>
      <c r="S87" s="34">
        <f t="shared" si="50"/>
        <v>3.5557980425054572</v>
      </c>
      <c r="T87" s="34">
        <f t="shared" si="50"/>
        <v>3.548670980493017</v>
      </c>
      <c r="U87" s="34">
        <f t="shared" si="50"/>
        <v>3.5563509824571109</v>
      </c>
      <c r="V87" s="34">
        <f t="shared" si="50"/>
        <v>3.5789645462847068</v>
      </c>
      <c r="W87" s="34">
        <f t="shared" si="50"/>
        <v>3.6168554358054275</v>
      </c>
    </row>
    <row r="88" spans="2:23" x14ac:dyDescent="0.2">
      <c r="B88" s="105" t="s">
        <v>130</v>
      </c>
      <c r="C88" s="34"/>
      <c r="D88" s="254">
        <f>'Input data'!C69*$D$84</f>
        <v>6.0932860543359997</v>
      </c>
      <c r="E88" s="34">
        <f>IF(E84=0,0,IF(E80=1,'Input data'!$C$58*(E84-D84*E43/((1+E23/100)*(1+E42/100))),0))</f>
        <v>8.5464808631096503</v>
      </c>
      <c r="F88" s="34">
        <f>IF(F84=0,0,IF(F80=1,'Input data'!$C$58*(F84-E84*F43/((1+F23/100)*(1+F42/100))),0))</f>
        <v>5.0102104556098732</v>
      </c>
      <c r="G88" s="34">
        <f>IF(G84=0,0,IF(G80=1,'Input data'!$C$58*(G84-F84*G43/((1+G23/100)*(1+G42/100))),0))</f>
        <v>3.8270233478064206</v>
      </c>
      <c r="H88" s="34">
        <f>IF(H84=0,0,IF(H80=1,'Input data'!$C$58*(H84-G84*H43/((1+H23/100)*(1+H42/100))),0))</f>
        <v>3.1752761146254223</v>
      </c>
      <c r="I88" s="34">
        <f>IF(I84=0,0,IF(I80=1,'Input data'!$C$58*(I84-H84*I43/((1+I23/100)*(1+I42/100))),0))</f>
        <v>2.6313572055557386</v>
      </c>
      <c r="J88" s="34">
        <f>IF(J84=0,0,IF(J80=1,'Input data'!$C$58*(J84-I84*J43/((1+J23/100)*(1+J42/100))),0))</f>
        <v>2.0313165295520519</v>
      </c>
      <c r="K88" s="34">
        <f>IF(K84=0,0,IF(K80=1,'Input data'!$C$58*(K84-J84*K43/((1+K23/100)*(1+K42/100))),0))</f>
        <v>1.8514259041703638</v>
      </c>
      <c r="L88" s="34">
        <f>IF(L84=0,0,IF(L80=1,'Input data'!$C$58*(L84-K84*L43/((1+L23/100)*(1+L42/100))),0))</f>
        <v>1.6647113517216312</v>
      </c>
      <c r="M88" s="34">
        <f>IF(M84=0,0,IF(M80=1,'Input data'!$C$58*(M84-L84*M43/((1+M23/100)*(1+M42/100))),0))</f>
        <v>1.4980143260287997</v>
      </c>
      <c r="N88" s="34">
        <f>IF(N84=0,0,IF(N80=1,'Input data'!$C$58*(N84-M84*N43/((1+N23/100)*(1+N42/100))),0))</f>
        <v>1.5411026948669353</v>
      </c>
      <c r="O88" s="34">
        <f>IF(O84=0,0,IF(O80=1,'Input data'!$C$58*(O84-N84*O43/((1+O23/100)*(1+O42/100))),0))</f>
        <v>1.6130728323833829</v>
      </c>
      <c r="P88" s="34">
        <f>IF(P84=0,0,IF(P80=1,'Input data'!$C$58*(P84-O84*P43/((1+P23/100)*(1+P42/100))),0))</f>
        <v>1.7057000400460063</v>
      </c>
      <c r="Q88" s="34">
        <f>IF(Q84=0,0,IF(Q80=1,'Input data'!$C$58*(Q84-P84*Q43/((1+Q23/100)*(1+Q42/100))),0))</f>
        <v>1.833282205895429</v>
      </c>
      <c r="R88" s="34">
        <f>IF(R84=0,0,IF(R80=1,'Input data'!$C$58*(R84-Q84*R43/((1+R23/100)*(1+R42/100))),0))</f>
        <v>1.9916591411148994</v>
      </c>
      <c r="S88" s="34">
        <f>IF(S84=0,0,IF(S80=1,'Input data'!$C$58*(S84-R84*S43/((1+S23/100)*(1+S42/100))),0))</f>
        <v>2.1620159675191193</v>
      </c>
      <c r="T88" s="34">
        <f>IF(T84=0,0,IF(T80=1,'Input data'!$C$58*(T84-S84*T43/((1+T23/100)*(1+T42/100))),0))</f>
        <v>2.3470239424411043</v>
      </c>
      <c r="U88" s="34">
        <f>IF(U84=0,0,IF(U80=1,'Input data'!$C$58*(U84-T84*U43/((1+U23/100)*(1+U42/100))),0))</f>
        <v>2.553921064677446</v>
      </c>
      <c r="V88" s="34">
        <f>IF(V84=0,0,IF(V80=1,'Input data'!$C$58*(V84-U84*V43/((1+V23/100)*(1+V42/100))),0))</f>
        <v>2.7838724923097731</v>
      </c>
      <c r="W88" s="34">
        <f>IF(W84=0,0,IF(W80=1,'Input data'!$C$58*(W84-V84*W43/((1+W23/100)*(1+W42/100))),0))</f>
        <v>3.0465263060189396</v>
      </c>
    </row>
    <row r="89" spans="2:23" x14ac:dyDescent="0.2">
      <c r="B89" s="107" t="s">
        <v>131</v>
      </c>
      <c r="C89" s="49"/>
      <c r="D89" s="255">
        <f>'Input data'!C70*$D$84</f>
        <v>0.38030214097798126</v>
      </c>
      <c r="E89" s="49">
        <f>IF(E84=0,0,IF(E80=1,'Input data'!$C$57*(E84-D84*E43/((1+E23/100)*(1+E42/100))),0))</f>
        <v>0.58951668669685431</v>
      </c>
      <c r="F89" s="49">
        <f>IF(F84=0,0,IF(F80=1,'Input data'!$C$57*(F84-E84*F43/((1+F23/100)*(1+F42/100))),0))</f>
        <v>0.34559284865354467</v>
      </c>
      <c r="G89" s="49">
        <f>IF(G84=0,0,IF(G80=1,'Input data'!$C$57*(G84-F84*G43/((1+G23/100)*(1+G42/100))),0))</f>
        <v>0.26397931032041894</v>
      </c>
      <c r="H89" s="49">
        <f>IF(H84=0,0,IF(H80=1,'Input data'!$C$57*(H84-G84*H43/((1+H23/100)*(1+H42/100))),0))</f>
        <v>0.21902327805137731</v>
      </c>
      <c r="I89" s="49">
        <f>IF(I84=0,0,IF(I80=1,'Input data'!$C$57*(I84-H84*I43/((1+I23/100)*(1+I42/100))),0))</f>
        <v>0.18150499675613799</v>
      </c>
      <c r="J89" s="49">
        <f>IF(J84=0,0,IF(J80=1,'Input data'!$C$57*(J84-I84*J43/((1+J23/100)*(1+J42/100))),0))</f>
        <v>0.14011556444278611</v>
      </c>
      <c r="K89" s="49">
        <f>IF(K84=0,0,IF(K80=1,'Input data'!$C$57*(K84-J84*K43/((1+K23/100)*(1+K42/100))),0))</f>
        <v>0.12770712088087635</v>
      </c>
      <c r="L89" s="49">
        <f>IF(L84=0,0,IF(L80=1,'Input data'!$C$57*(L84-K84*L43/((1+L23/100)*(1+L42/100))),0))</f>
        <v>0.11482797845012699</v>
      </c>
      <c r="M89" s="49">
        <f>IF(M84=0,0,IF(M80=1,'Input data'!$C$57*(M84-L84*M43/((1+M23/100)*(1+M42/100))),0))</f>
        <v>0.10332959919407113</v>
      </c>
      <c r="N89" s="49">
        <f>IF(N84=0,0,IF(N80=1,'Input data'!$C$57*(N84-M84*N43/((1+N23/100)*(1+N42/100))),0))</f>
        <v>0.10630173624550629</v>
      </c>
      <c r="O89" s="49">
        <f>IF(O84=0,0,IF(O80=1,'Input data'!$C$57*(O84-N84*O43/((1+O23/100)*(1+O42/100))),0))</f>
        <v>0.11126607158883448</v>
      </c>
      <c r="P89" s="49">
        <f>IF(P84=0,0,IF(P80=1,'Input data'!$C$57*(P84-O84*P43/((1+P23/100)*(1+P42/100))),0))</f>
        <v>0.11765528434597659</v>
      </c>
      <c r="Q89" s="49">
        <f>IF(Q84=0,0,IF(Q80=1,'Input data'!$C$57*(Q84-P84*Q43/((1+Q23/100)*(1+Q42/100))),0))</f>
        <v>0.12645561010553072</v>
      </c>
      <c r="R89" s="49">
        <f>IF(R84=0,0,IF(R80=1,'Input data'!$C$57*(R84-Q84*R43/((1+R23/100)*(1+R42/100))),0))</f>
        <v>0.13738008856575781</v>
      </c>
      <c r="S89" s="49">
        <f>IF(S84=0,0,IF(S80=1,'Input data'!$C$57*(S84-R84*S43/((1+S23/100)*(1+S42/100))),0))</f>
        <v>0.14913091249745336</v>
      </c>
      <c r="T89" s="49">
        <f>IF(T84=0,0,IF(T80=1,'Input data'!$C$57*(T84-S84*T43/((1+T23/100)*(1+T42/100))),0))</f>
        <v>0.16189233911683268</v>
      </c>
      <c r="U89" s="49">
        <f>IF(U84=0,0,IF(U80=1,'Input data'!$C$57*(U84-T84*U43/((1+U23/100)*(1+U42/100))),0))</f>
        <v>0.17616362901281257</v>
      </c>
      <c r="V89" s="49">
        <f>IF(V84=0,0,IF(V80=1,'Input data'!$C$57*(V84-U84*V43/((1+V23/100)*(1+V42/100))),0))</f>
        <v>0.19202515212276977</v>
      </c>
      <c r="W89" s="49">
        <f>IF(W84=0,0,IF(W80=1,'Input data'!$C$57*(W84-V84*W43/((1+W23/100)*(1+W42/100))),0))</f>
        <v>0.21014241096722269</v>
      </c>
    </row>
    <row r="90" spans="2:23" x14ac:dyDescent="0.2">
      <c r="B90" s="26" t="s">
        <v>73</v>
      </c>
      <c r="C90" s="34"/>
      <c r="D90" s="260">
        <f>'Baseline NFPC'!$D$93</f>
        <v>5.8746799929838001E-2</v>
      </c>
      <c r="E90" s="34">
        <f t="shared" ref="E90:G90" si="51">IF(E84&lt;&gt;0,(E87+E89)/(E85+E86+E87+E88+E89),0)</f>
        <v>5.9465050877674869E-2</v>
      </c>
      <c r="F90" s="34">
        <f t="shared" si="51"/>
        <v>5.9829978531755049E-2</v>
      </c>
      <c r="G90" s="34">
        <f t="shared" si="51"/>
        <v>6.009014929235542E-2</v>
      </c>
      <c r="H90" s="34">
        <f t="shared" ref="H90:W90" si="52">IF(H84&lt;&gt;0,(H87+H89)/(H85+H86+H87+H88+H89),0)</f>
        <v>6.0296032148354238E-2</v>
      </c>
      <c r="I90" s="34">
        <f t="shared" si="52"/>
        <v>6.0461327682602053E-2</v>
      </c>
      <c r="J90" s="34">
        <f t="shared" si="52"/>
        <v>6.05868103430343E-2</v>
      </c>
      <c r="K90" s="34">
        <f t="shared" si="52"/>
        <v>6.0700448916327365E-2</v>
      </c>
      <c r="L90" s="34">
        <f t="shared" si="52"/>
        <v>6.0802347730030543E-2</v>
      </c>
      <c r="M90" s="34">
        <f t="shared" si="52"/>
        <v>6.0894088859433829E-2</v>
      </c>
      <c r="N90" s="34">
        <f t="shared" si="52"/>
        <v>6.0988003272079157E-2</v>
      </c>
      <c r="O90" s="34">
        <f t="shared" si="52"/>
        <v>6.1085443659535707E-2</v>
      </c>
      <c r="P90" s="34">
        <f t="shared" si="52"/>
        <v>6.1187141749038165E-2</v>
      </c>
      <c r="Q90" s="34">
        <f t="shared" si="52"/>
        <v>6.1294465980195445E-2</v>
      </c>
      <c r="R90" s="34">
        <f t="shared" si="52"/>
        <v>6.1408229181583868E-2</v>
      </c>
      <c r="S90" s="34">
        <f t="shared" si="52"/>
        <v>6.1527924051078847E-2</v>
      </c>
      <c r="T90" s="34">
        <f t="shared" si="52"/>
        <v>6.1652938036731865E-2</v>
      </c>
      <c r="U90" s="34">
        <f t="shared" si="52"/>
        <v>6.1782807830131008E-2</v>
      </c>
      <c r="V90" s="34">
        <f t="shared" si="52"/>
        <v>6.1916884930797493E-2</v>
      </c>
      <c r="W90" s="34">
        <f t="shared" si="52"/>
        <v>6.2054706269405534E-2</v>
      </c>
    </row>
    <row r="91" spans="2:23" x14ac:dyDescent="0.2">
      <c r="B91" s="35" t="s">
        <v>74</v>
      </c>
      <c r="C91" s="49"/>
      <c r="D91" s="261">
        <f>'Baseline NFPC'!$D$94</f>
        <v>0.941253200070162</v>
      </c>
      <c r="E91" s="49">
        <f t="shared" ref="E91:G91" si="53">IF(E84&lt;&gt;0,(E85+E86+E88)/(E85+E86+E87+E88+E89),1)</f>
        <v>0.94053494912232516</v>
      </c>
      <c r="F91" s="49">
        <f t="shared" si="53"/>
        <v>0.94017002146824513</v>
      </c>
      <c r="G91" s="49">
        <f t="shared" si="53"/>
        <v>0.93990985070764443</v>
      </c>
      <c r="H91" s="49">
        <f t="shared" ref="H91:W91" si="54">IF(H84&lt;&gt;0,(H85+H86+H88)/(H85+H86+H87+H88+H89),1)</f>
        <v>0.93970396785164567</v>
      </c>
      <c r="I91" s="49">
        <f t="shared" si="54"/>
        <v>0.93953867231739796</v>
      </c>
      <c r="J91" s="49">
        <f t="shared" si="54"/>
        <v>0.93941318965696574</v>
      </c>
      <c r="K91" s="49">
        <f t="shared" si="54"/>
        <v>0.93929955108367258</v>
      </c>
      <c r="L91" s="49">
        <f t="shared" si="54"/>
        <v>0.93919765226996943</v>
      </c>
      <c r="M91" s="49">
        <f t="shared" si="54"/>
        <v>0.9391059111405663</v>
      </c>
      <c r="N91" s="49">
        <f t="shared" si="54"/>
        <v>0.93901199672792091</v>
      </c>
      <c r="O91" s="49">
        <f t="shared" si="54"/>
        <v>0.93891455634046428</v>
      </c>
      <c r="P91" s="49">
        <f t="shared" si="54"/>
        <v>0.93881285825096183</v>
      </c>
      <c r="Q91" s="49">
        <f t="shared" si="54"/>
        <v>0.93870553401980461</v>
      </c>
      <c r="R91" s="49">
        <f t="shared" si="54"/>
        <v>0.93859177081841616</v>
      </c>
      <c r="S91" s="49">
        <f t="shared" si="54"/>
        <v>0.93847207594892113</v>
      </c>
      <c r="T91" s="49">
        <f t="shared" si="54"/>
        <v>0.93834706196326823</v>
      </c>
      <c r="U91" s="49">
        <f t="shared" si="54"/>
        <v>0.93821719216986899</v>
      </c>
      <c r="V91" s="49">
        <f t="shared" si="54"/>
        <v>0.9380831150692025</v>
      </c>
      <c r="W91" s="49">
        <f t="shared" si="54"/>
        <v>0.93794529373059454</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3.2392632961273193</v>
      </c>
      <c r="D93" s="115">
        <f>D105</f>
        <v>4.4184198379516602</v>
      </c>
      <c r="E93" s="115">
        <f t="shared" ref="E93:G93" si="55">E95+E96</f>
        <v>7.2293640000000012</v>
      </c>
      <c r="F93" s="115">
        <f t="shared" si="55"/>
        <v>7.2143069999999998</v>
      </c>
      <c r="G93" s="115">
        <f t="shared" si="55"/>
        <v>5.9857409999999991</v>
      </c>
      <c r="H93" s="115">
        <f t="shared" ref="H93:W93" si="56">H95+H96</f>
        <v>6.1006442626004187</v>
      </c>
      <c r="I93" s="115">
        <f t="shared" si="56"/>
        <v>6.1883468017334327</v>
      </c>
      <c r="J93" s="115">
        <f t="shared" si="56"/>
        <v>6.2553067442008849</v>
      </c>
      <c r="K93" s="115">
        <f t="shared" si="56"/>
        <v>6.3825391244805942</v>
      </c>
      <c r="L93" s="115">
        <f t="shared" si="56"/>
        <v>6.4627377092624378</v>
      </c>
      <c r="M93" s="115">
        <f t="shared" si="56"/>
        <v>6.5279233208955407</v>
      </c>
      <c r="N93" s="115">
        <f t="shared" si="56"/>
        <v>6.5799403106199268</v>
      </c>
      <c r="O93" s="115">
        <f t="shared" si="56"/>
        <v>6.6215299668805523</v>
      </c>
      <c r="P93" s="115">
        <f t="shared" si="56"/>
        <v>6.6426040657971814</v>
      </c>
      <c r="Q93" s="115">
        <f t="shared" si="56"/>
        <v>6.6532677852029067</v>
      </c>
      <c r="R93" s="115">
        <f t="shared" si="56"/>
        <v>6.6543056352570451</v>
      </c>
      <c r="S93" s="115">
        <f t="shared" si="56"/>
        <v>6.6463391475361586</v>
      </c>
      <c r="T93" s="115">
        <f t="shared" si="56"/>
        <v>6.6299041071078255</v>
      </c>
      <c r="U93" s="115">
        <f t="shared" si="56"/>
        <v>6.6055274906535466</v>
      </c>
      <c r="V93" s="115">
        <f t="shared" si="56"/>
        <v>6.5737162176357078</v>
      </c>
      <c r="W93" s="115">
        <f t="shared" si="56"/>
        <v>6.5349653716343408</v>
      </c>
    </row>
    <row r="94" spans="2:23" x14ac:dyDescent="0.2">
      <c r="B94" s="33" t="s">
        <v>133</v>
      </c>
      <c r="C94" s="34"/>
      <c r="D94" s="34"/>
      <c r="E94" s="266">
        <f>((E36*D84)-(E38*(D87+D89)))/(D85+D86+D88)</f>
        <v>6.6838324052938658</v>
      </c>
      <c r="F94" s="266">
        <f t="shared" ref="F94:G94" si="57">((F36*E84)-(F38*(E87+E89)))/(E85+E86+E88)</f>
        <v>7.2001830420087387</v>
      </c>
      <c r="G94" s="266">
        <f t="shared" si="57"/>
        <v>5.9561921810339973</v>
      </c>
      <c r="H94" s="34">
        <f t="shared" ref="H94:W94" si="58">IF(G84&gt;0,(G94*G85+H37*(G88+G86))/(G85+G86+G88),H37)</f>
        <v>6.0800000387567961</v>
      </c>
      <c r="I94" s="34">
        <f t="shared" si="58"/>
        <v>6.1749562434446572</v>
      </c>
      <c r="J94" s="34">
        <f t="shared" si="58"/>
        <v>6.2478926046440657</v>
      </c>
      <c r="K94" s="34">
        <f t="shared" si="58"/>
        <v>6.3527774568348114</v>
      </c>
      <c r="L94" s="34">
        <f t="shared" si="58"/>
        <v>6.4398129526722832</v>
      </c>
      <c r="M94" s="34">
        <f t="shared" si="58"/>
        <v>6.5108943366312397</v>
      </c>
      <c r="N94" s="34">
        <f t="shared" si="58"/>
        <v>6.5679763646202769</v>
      </c>
      <c r="O94" s="34">
        <f t="shared" si="58"/>
        <v>6.6139698871100094</v>
      </c>
      <c r="P94" s="34">
        <f t="shared" si="58"/>
        <v>6.6485616139043033</v>
      </c>
      <c r="Q94" s="34">
        <f t="shared" si="58"/>
        <v>6.6721118883516217</v>
      </c>
      <c r="R94" s="34">
        <f t="shared" si="58"/>
        <v>6.6854564612015031</v>
      </c>
      <c r="S94" s="34">
        <f t="shared" si="58"/>
        <v>6.6892582329302073</v>
      </c>
      <c r="T94" s="34">
        <f t="shared" si="58"/>
        <v>6.684088094737108</v>
      </c>
      <c r="U94" s="34">
        <f t="shared" si="58"/>
        <v>6.6705069729470976</v>
      </c>
      <c r="V94" s="34">
        <f t="shared" si="58"/>
        <v>6.649054152003572</v>
      </c>
      <c r="W94" s="34">
        <f t="shared" si="58"/>
        <v>6.6202557407401841</v>
      </c>
    </row>
    <row r="95" spans="2:23" x14ac:dyDescent="0.2">
      <c r="B95" s="26" t="s">
        <v>134</v>
      </c>
      <c r="C95" s="34"/>
      <c r="D95" s="34"/>
      <c r="E95" s="34">
        <f t="shared" ref="E95" si="59">(E94*(D85+D86+D88)+E38*(D87+D89))/D84</f>
        <v>7.2293640000000012</v>
      </c>
      <c r="F95" s="34">
        <f t="shared" ref="F95" si="60">(F94*(E85+E86+E88)+F38*(E87+E89))/E84</f>
        <v>7.2143069999999998</v>
      </c>
      <c r="G95" s="34">
        <f t="shared" ref="G95" si="61">(G94*(F85+F86+F88)+G38*(F87+F89))/F84</f>
        <v>5.9857409999999991</v>
      </c>
      <c r="H95" s="34">
        <f t="shared" ref="H95:W95" si="62">(H94*(G85+G86+G88)+H38*(G87+G89))/G84</f>
        <v>6.1006442626004187</v>
      </c>
      <c r="I95" s="34">
        <f t="shared" si="62"/>
        <v>6.1883468017334327</v>
      </c>
      <c r="J95" s="34">
        <f t="shared" si="62"/>
        <v>6.2553067442008849</v>
      </c>
      <c r="K95" s="34">
        <f t="shared" si="62"/>
        <v>6.3825391244805942</v>
      </c>
      <c r="L95" s="34">
        <f t="shared" si="62"/>
        <v>6.4627377092624378</v>
      </c>
      <c r="M95" s="34">
        <f t="shared" si="62"/>
        <v>6.5279233208955407</v>
      </c>
      <c r="N95" s="34">
        <f t="shared" si="62"/>
        <v>6.5799403106199268</v>
      </c>
      <c r="O95" s="34">
        <f t="shared" si="62"/>
        <v>6.6215299668805523</v>
      </c>
      <c r="P95" s="34">
        <f t="shared" si="62"/>
        <v>6.6426040657971814</v>
      </c>
      <c r="Q95" s="34">
        <f t="shared" si="62"/>
        <v>6.6532677852029067</v>
      </c>
      <c r="R95" s="34">
        <f t="shared" si="62"/>
        <v>6.6543056352570451</v>
      </c>
      <c r="S95" s="34">
        <f t="shared" si="62"/>
        <v>6.6463391475361586</v>
      </c>
      <c r="T95" s="34">
        <f t="shared" si="62"/>
        <v>6.6299041071078255</v>
      </c>
      <c r="U95" s="34">
        <f t="shared" si="62"/>
        <v>6.6055274906535466</v>
      </c>
      <c r="V95" s="34">
        <f t="shared" si="62"/>
        <v>6.5737162176357078</v>
      </c>
      <c r="W95" s="34">
        <f t="shared" si="62"/>
        <v>6.5349653716343408</v>
      </c>
    </row>
    <row r="96" spans="2:23" x14ac:dyDescent="0.2">
      <c r="B96" s="35" t="s">
        <v>135</v>
      </c>
      <c r="C96" s="114"/>
      <c r="D96" s="114"/>
      <c r="E96" s="49">
        <f>IF('Criteria results'!$F$5=4,E106,E111)</f>
        <v>0</v>
      </c>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3" t="s">
        <v>186</v>
      </c>
      <c r="C98" s="115">
        <f>((1+C93/100)/((1+C23/100)*(1+C42/100))-1)*100</f>
        <v>-9.4036061236700057</v>
      </c>
      <c r="D98" s="115">
        <f t="shared" ref="D98:T98" si="63">((1+D93/100)/((1+D23/100)*(1+D42/100))-1)*100</f>
        <v>-12.596453383559858</v>
      </c>
      <c r="E98" s="115">
        <f t="shared" si="63"/>
        <v>-5.6971512852683421</v>
      </c>
      <c r="F98" s="115">
        <f t="shared" si="63"/>
        <v>-0.58471536016967418</v>
      </c>
      <c r="G98" s="115">
        <f t="shared" si="63"/>
        <v>-0.65999390843156647</v>
      </c>
      <c r="H98" s="115">
        <f t="shared" si="63"/>
        <v>0.20556737539796366</v>
      </c>
      <c r="I98" s="115">
        <f t="shared" si="63"/>
        <v>0.43613775263522392</v>
      </c>
      <c r="J98" s="115">
        <f t="shared" si="63"/>
        <v>0.62403149355139131</v>
      </c>
      <c r="K98" s="115">
        <f t="shared" si="63"/>
        <v>0.76990241271479576</v>
      </c>
      <c r="L98" s="115">
        <f t="shared" si="63"/>
        <v>0.91464830156517962</v>
      </c>
      <c r="M98" s="115">
        <f t="shared" si="63"/>
        <v>1.0861327752308858</v>
      </c>
      <c r="N98" s="115">
        <f t="shared" si="63"/>
        <v>1.7691449140462057</v>
      </c>
      <c r="O98" s="115">
        <f t="shared" si="63"/>
        <v>1.8965149145985905</v>
      </c>
      <c r="P98" s="115">
        <f t="shared" si="63"/>
        <v>1.9652157624106437</v>
      </c>
      <c r="Q98" s="115">
        <f t="shared" si="63"/>
        <v>2.024018827461771</v>
      </c>
      <c r="R98" s="115">
        <f t="shared" si="63"/>
        <v>2.073650677494987</v>
      </c>
      <c r="S98" s="115">
        <f t="shared" si="63"/>
        <v>2.0841630791907706</v>
      </c>
      <c r="T98" s="115">
        <f t="shared" si="63"/>
        <v>2.1327131918914999</v>
      </c>
      <c r="U98" s="115">
        <f>((1+U93/100)/((1+U23/100)*(1+U42/100))-1)*100</f>
        <v>2.1749636835757924</v>
      </c>
      <c r="V98" s="115">
        <f t="shared" ref="V98:W98" si="64">((1+V93/100)/((1+V23/100)*(1+V42/100))-1)*100</f>
        <v>2.1894330263626083</v>
      </c>
      <c r="W98" s="115">
        <f t="shared" si="64"/>
        <v>2.1804882602737941</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293</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76.688644409179688</v>
      </c>
      <c r="D104" s="34">
        <v>74.056968688964844</v>
      </c>
      <c r="E104" s="34">
        <v>73.520370483398438</v>
      </c>
      <c r="F104" s="34">
        <v>74.287979125976563</v>
      </c>
      <c r="G104" s="34">
        <v>73.85491943359375</v>
      </c>
      <c r="H104" s="34">
        <v>73.145805358886719</v>
      </c>
      <c r="I104" s="34">
        <v>71.996414184570313</v>
      </c>
      <c r="J104" s="34">
        <v>70.352256774902344</v>
      </c>
      <c r="K104" s="34">
        <v>68.619735717773438</v>
      </c>
      <c r="L104" s="34">
        <v>66.823341369628906</v>
      </c>
      <c r="M104" s="34">
        <v>65.011184692382813</v>
      </c>
      <c r="N104" s="34">
        <v>63.724170684814453</v>
      </c>
      <c r="O104" s="34">
        <v>62.624603271484375</v>
      </c>
      <c r="P104" s="34">
        <v>61.701286315917969</v>
      </c>
      <c r="Q104" s="34">
        <v>60.98297119140625</v>
      </c>
      <c r="R104" s="34">
        <v>60.492931365966797</v>
      </c>
      <c r="S104" s="34">
        <v>60.216342926025391</v>
      </c>
      <c r="T104" s="34">
        <v>60.185661315917969</v>
      </c>
      <c r="U104" s="34">
        <v>60.414478302001953</v>
      </c>
      <c r="V104" s="34">
        <v>60.905094146728516</v>
      </c>
      <c r="W104" s="34">
        <v>61.672416687011719</v>
      </c>
      <c r="X104" s="34"/>
      <c r="Y104" s="34"/>
      <c r="Z104" s="34"/>
    </row>
    <row r="105" spans="1:54" s="5" customFormat="1" ht="12.75" x14ac:dyDescent="0.2">
      <c r="A105" s="26"/>
      <c r="B105" s="26" t="s">
        <v>132</v>
      </c>
      <c r="C105" s="1">
        <v>3.2392632961273193</v>
      </c>
      <c r="D105" s="1">
        <v>4.4184198379516602</v>
      </c>
      <c r="E105" s="1">
        <v>7.2293639183044434</v>
      </c>
      <c r="F105" s="1">
        <v>7.2143068313598633</v>
      </c>
      <c r="G105" s="1">
        <v>5.9857401847839355</v>
      </c>
      <c r="H105" s="1">
        <v>6.100651741027832</v>
      </c>
      <c r="I105" s="1">
        <v>6.1883535385131836</v>
      </c>
      <c r="J105" s="1">
        <v>6.2553129196166992</v>
      </c>
      <c r="K105" s="1">
        <v>6.382544994354248</v>
      </c>
      <c r="L105" s="1">
        <v>6.4627432823181152</v>
      </c>
      <c r="M105" s="1">
        <v>6.527928352355957</v>
      </c>
      <c r="N105" s="1">
        <v>6.5799455642700195</v>
      </c>
      <c r="O105" s="1">
        <v>6.6215348243713379</v>
      </c>
      <c r="P105" s="1">
        <v>6.642608642578125</v>
      </c>
      <c r="Q105" s="1">
        <v>6.6532721519470215</v>
      </c>
      <c r="R105" s="1">
        <v>6.6543097496032715</v>
      </c>
      <c r="S105" s="1">
        <v>6.6463427543640137</v>
      </c>
      <c r="T105" s="1">
        <v>6.6299076080322266</v>
      </c>
      <c r="U105" s="1">
        <v>6.6055302619934082</v>
      </c>
      <c r="V105" s="1">
        <v>6.5737180709838867</v>
      </c>
      <c r="W105" s="1">
        <v>6.5349674224853516</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185</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294</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76.688644409179688</v>
      </c>
      <c r="D109" s="34">
        <v>74.056968688964844</v>
      </c>
      <c r="E109" s="34">
        <v>73.520370483398438</v>
      </c>
      <c r="F109" s="34">
        <v>74.287979125976563</v>
      </c>
      <c r="G109" s="34">
        <v>73.887054443359375</v>
      </c>
      <c r="H109" s="34">
        <v>73.4412841796875</v>
      </c>
      <c r="I109" s="34">
        <v>72.793144226074219</v>
      </c>
      <c r="J109" s="34">
        <v>71.892997741699219</v>
      </c>
      <c r="K109" s="34">
        <v>70.637893676757813</v>
      </c>
      <c r="L109" s="34">
        <v>69.028900146484375</v>
      </c>
      <c r="M109" s="34">
        <v>67.080314636230469</v>
      </c>
      <c r="N109" s="34">
        <v>65.393478393554688</v>
      </c>
      <c r="O109" s="34">
        <v>63.765689849853516</v>
      </c>
      <c r="P109" s="34">
        <v>62.180316925048828</v>
      </c>
      <c r="Q109" s="34">
        <v>60.988128662109375</v>
      </c>
      <c r="R109" s="34">
        <v>60.019649505615234</v>
      </c>
      <c r="S109" s="34">
        <v>59.259410858154297</v>
      </c>
      <c r="T109" s="34">
        <v>58.739036560058594</v>
      </c>
      <c r="U109" s="34">
        <v>58.471336364746094</v>
      </c>
      <c r="V109" s="34">
        <v>58.458328247070313</v>
      </c>
      <c r="W109" s="34">
        <v>58.714935302734375</v>
      </c>
      <c r="X109" s="34"/>
      <c r="Y109" s="34"/>
      <c r="Z109" s="34"/>
    </row>
    <row r="110" spans="1:54" x14ac:dyDescent="0.2">
      <c r="B110" s="26" t="s">
        <v>132</v>
      </c>
      <c r="C110" s="1">
        <v>3.2392632961273193</v>
      </c>
      <c r="D110" s="1">
        <v>4.4184198379516602</v>
      </c>
      <c r="E110" s="1">
        <v>7.2293639183044434</v>
      </c>
      <c r="F110" s="1">
        <v>7.2143068313598633</v>
      </c>
      <c r="G110" s="1">
        <v>5.9857401847839355</v>
      </c>
      <c r="H110" s="1">
        <v>6.1025090217590332</v>
      </c>
      <c r="I110" s="1">
        <v>6.1933231353759766</v>
      </c>
      <c r="J110" s="1">
        <v>6.2641096115112305</v>
      </c>
      <c r="K110" s="1">
        <v>6.3178462982177734</v>
      </c>
      <c r="L110" s="1">
        <v>6.3571186065673828</v>
      </c>
      <c r="M110" s="1">
        <v>6.384178638458252</v>
      </c>
      <c r="N110" s="1">
        <v>6.4774627685546875</v>
      </c>
      <c r="O110" s="1">
        <v>6.5282058715820313</v>
      </c>
      <c r="P110" s="1">
        <v>6.5571675300598145</v>
      </c>
      <c r="Q110" s="1">
        <v>6.5748810768127441</v>
      </c>
      <c r="R110" s="1">
        <v>6.5830259323120117</v>
      </c>
      <c r="S110" s="1">
        <v>6.5822105407714844</v>
      </c>
      <c r="T110" s="1">
        <v>6.5729122161865234</v>
      </c>
      <c r="U110" s="1">
        <v>6.5555863380432129</v>
      </c>
      <c r="V110" s="1">
        <v>6.5306615829467773</v>
      </c>
      <c r="W110" s="1">
        <v>6.498542308807373</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185</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HU</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188</v>
      </c>
      <c r="C11" s="83">
        <f>'Adjust. no safeguard'!C57</f>
        <v>76.688640000000007</v>
      </c>
      <c r="D11" s="83">
        <f>'Adjust. no safeguard'!D57</f>
        <v>74.056958506530165</v>
      </c>
      <c r="E11" s="83">
        <f>'Adjust. no safeguard'!E57</f>
        <v>73.520357526734585</v>
      </c>
      <c r="F11" s="83">
        <f>'Adjust. no safeguard'!F57</f>
        <v>74.287964673525892</v>
      </c>
      <c r="G11" s="83">
        <f>'Adjust. no safeguard'!G57</f>
        <v>73.854222000134087</v>
      </c>
      <c r="H11" s="83">
        <f>'Adjust. no safeguard'!H57</f>
        <v>73.145093744834028</v>
      </c>
      <c r="I11" s="83">
        <f>'Adjust. no safeguard'!I57</f>
        <v>71.995695653916613</v>
      </c>
      <c r="J11" s="83">
        <f>'Adjust. no safeguard'!J57</f>
        <v>70.351529341469288</v>
      </c>
      <c r="K11" s="83">
        <f>'Adjust. no safeguard'!K57</f>
        <v>68.220207862620029</v>
      </c>
      <c r="L11" s="83">
        <f>'Adjust. no safeguard'!L57</f>
        <v>66.005551885247954</v>
      </c>
      <c r="M11" s="83">
        <f>'Adjust. no safeguard'!M57</f>
        <v>63.758873845840455</v>
      </c>
      <c r="N11" s="83">
        <f>'Adjust. no safeguard'!N57</f>
        <v>62.014797976032192</v>
      </c>
      <c r="O11" s="83">
        <f>'Adjust. no safeguard'!O57</f>
        <v>60.440781226385973</v>
      </c>
      <c r="P11" s="83">
        <f>'Adjust. no safeguard'!P57</f>
        <v>59.026867815732409</v>
      </c>
      <c r="Q11" s="83">
        <f>'Adjust. no safeguard'!Q57</f>
        <v>57.802291982818204</v>
      </c>
      <c r="R11" s="83">
        <f>'Adjust. no safeguard'!R57</f>
        <v>56.790330100508918</v>
      </c>
      <c r="S11" s="83">
        <f>'Adjust. no safeguard'!S57</f>
        <v>55.977034476616197</v>
      </c>
      <c r="T11" s="83">
        <f>'Adjust. no safeguard'!T57</f>
        <v>55.392400142926711</v>
      </c>
      <c r="U11" s="83">
        <f>'Adjust. no safeguard'!U57</f>
        <v>55.048814322300601</v>
      </c>
      <c r="V11" s="83">
        <f>'Adjust. no safeguard'!V57</f>
        <v>54.948375777158063</v>
      </c>
      <c r="W11" s="83">
        <f>'Adjust. no safeguard'!W57</f>
        <v>55.105753385165151</v>
      </c>
    </row>
    <row r="12" spans="1:50" s="26" customFormat="1" ht="11.25" x14ac:dyDescent="0.2">
      <c r="A12" s="29"/>
      <c r="C12" s="29"/>
      <c r="E12" s="43"/>
      <c r="F12" s="29"/>
    </row>
    <row r="13" spans="1:50" s="67" customFormat="1" ht="11.25" x14ac:dyDescent="0.2">
      <c r="B13" s="90" t="s">
        <v>152</v>
      </c>
    </row>
    <row r="14" spans="1:50" x14ac:dyDescent="0.2">
      <c r="B14" s="5" t="s">
        <v>153</v>
      </c>
      <c r="C14" s="83">
        <f>C$11</f>
        <v>76.688640000000007</v>
      </c>
      <c r="D14" s="83">
        <f t="shared" ref="D14:J18" si="0">D$11</f>
        <v>74.056958506530165</v>
      </c>
      <c r="E14" s="83">
        <f t="shared" si="0"/>
        <v>73.520357526734585</v>
      </c>
      <c r="F14" s="83">
        <f t="shared" si="0"/>
        <v>74.287964673525892</v>
      </c>
      <c r="G14" s="83">
        <f t="shared" si="0"/>
        <v>73.854222000134087</v>
      </c>
      <c r="H14" s="83">
        <f t="shared" si="0"/>
        <v>73.145093744834028</v>
      </c>
      <c r="I14" s="83">
        <f t="shared" si="0"/>
        <v>71.995695653916613</v>
      </c>
      <c r="J14" s="83">
        <f>J$11</f>
        <v>70.351529341469288</v>
      </c>
      <c r="K14" s="83">
        <f>IF('Criteria results'!$F$5=4,K$11+'Input data'!C74,K$11)</f>
        <v>58.899220161204013</v>
      </c>
      <c r="L14" s="83">
        <f>IF('Criteria results'!$F$5=4,L$11+'Input data'!D74,L$11)</f>
        <v>52.991574834466704</v>
      </c>
      <c r="M14" s="83">
        <f>IF('Criteria results'!$F$5=4,M$11+'Input data'!E74,M$11)</f>
        <v>48.42430963685608</v>
      </c>
      <c r="N14" s="83">
        <f>IF('Criteria results'!$F$5=4,N$11+'Input data'!F74,N$11+'Input data'!C74)</f>
        <v>44.364502718463832</v>
      </c>
      <c r="O14" s="83">
        <f>IF('Criteria results'!$F$5=4,O$11+'Input data'!G74,O$11+'Input data'!D74)</f>
        <v>40.903816809882066</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76.688640000000007</v>
      </c>
      <c r="D15" s="83">
        <f t="shared" si="0"/>
        <v>74.056958506530165</v>
      </c>
      <c r="E15" s="83">
        <f t="shared" si="0"/>
        <v>73.520357526734585</v>
      </c>
      <c r="F15" s="83">
        <f t="shared" si="0"/>
        <v>74.287964673525892</v>
      </c>
      <c r="G15" s="83">
        <f t="shared" si="0"/>
        <v>73.854222000134087</v>
      </c>
      <c r="H15" s="83">
        <f t="shared" si="0"/>
        <v>73.145093744834028</v>
      </c>
      <c r="I15" s="83">
        <f t="shared" si="0"/>
        <v>71.995695653916613</v>
      </c>
      <c r="J15" s="83">
        <f t="shared" si="0"/>
        <v>70.351529341469288</v>
      </c>
      <c r="K15" s="83">
        <f>IF('Criteria results'!$F$5=4,K$11+'Input data'!C75,K$11)</f>
        <v>64.413658790354404</v>
      </c>
      <c r="L15" s="83">
        <f>IF('Criteria results'!$F$5=4,L$11+'Input data'!D75,L$11)</f>
        <v>60.704419683099516</v>
      </c>
      <c r="M15" s="83">
        <f>IF('Criteria results'!$F$5=4,M$11+'Input data'!E75,M$11)</f>
        <v>57.394040014053346</v>
      </c>
      <c r="N15" s="83">
        <f>IF('Criteria results'!$F$5=4,N$11+'Input data'!F75,N$11+'Input data'!C75)</f>
        <v>54.718972017780239</v>
      </c>
      <c r="O15" s="83">
        <f>IF('Criteria results'!$F$5=4,O$11+'Input data'!G75,O$11+'Input data'!D75)</f>
        <v>52.423458686102769</v>
      </c>
      <c r="P15" s="83" t="str">
        <f>IF('Criteria results'!$F$5=4,"",Stochastic!P$11+'Input data'!E75)</f>
        <v/>
      </c>
      <c r="Q15" s="83" t="str">
        <f>IF('Criteria results'!$F$5=4,"",Stochastic!Q$11+'Input data'!F75)</f>
        <v/>
      </c>
      <c r="R15" s="83" t="str">
        <f>IF('Criteria results'!$F$5=4,"",Stochastic!R$11+'Input data'!G75)</f>
        <v/>
      </c>
    </row>
    <row r="16" spans="1:50" x14ac:dyDescent="0.2">
      <c r="B16" s="5" t="s">
        <v>189</v>
      </c>
      <c r="C16" s="83">
        <f t="shared" si="1"/>
        <v>76.688640000000007</v>
      </c>
      <c r="D16" s="83">
        <f t="shared" si="0"/>
        <v>74.056958506530165</v>
      </c>
      <c r="E16" s="83">
        <f t="shared" si="0"/>
        <v>73.520357526734585</v>
      </c>
      <c r="F16" s="83">
        <f t="shared" si="0"/>
        <v>74.287964673525892</v>
      </c>
      <c r="G16" s="83">
        <f t="shared" si="0"/>
        <v>73.854222000134087</v>
      </c>
      <c r="H16" s="83">
        <f t="shared" si="0"/>
        <v>73.145093744834028</v>
      </c>
      <c r="I16" s="83">
        <f t="shared" si="0"/>
        <v>71.995695653916613</v>
      </c>
      <c r="J16" s="83">
        <f t="shared" si="0"/>
        <v>70.351529341469288</v>
      </c>
      <c r="K16" s="83">
        <f>K11</f>
        <v>68.220207862620029</v>
      </c>
      <c r="L16" s="83">
        <f t="shared" ref="L16:O16" si="2">L11</f>
        <v>66.005551885247954</v>
      </c>
      <c r="M16" s="83">
        <f t="shared" si="2"/>
        <v>63.758873845840455</v>
      </c>
      <c r="N16" s="83">
        <f t="shared" si="2"/>
        <v>62.014797976032192</v>
      </c>
      <c r="O16" s="83">
        <f t="shared" si="2"/>
        <v>60.440781226385973</v>
      </c>
      <c r="P16" s="83" t="str">
        <f>IF('Criteria results'!$F$5=4,"",Stochastic!P$11)</f>
        <v/>
      </c>
      <c r="Q16" s="83" t="str">
        <f>IF('Criteria results'!$F$5=4,"",Stochastic!Q$11)</f>
        <v/>
      </c>
      <c r="R16" s="83" t="str">
        <f>IF('Criteria results'!$F$5=4,"",Stochastic!R$11)</f>
        <v/>
      </c>
    </row>
    <row r="17" spans="2:18" x14ac:dyDescent="0.2">
      <c r="B17" s="5" t="s">
        <v>155</v>
      </c>
      <c r="C17" s="83">
        <f t="shared" si="1"/>
        <v>76.688640000000007</v>
      </c>
      <c r="D17" s="83">
        <f t="shared" si="0"/>
        <v>74.056958506530165</v>
      </c>
      <c r="E17" s="83">
        <f t="shared" si="0"/>
        <v>73.520357526734585</v>
      </c>
      <c r="F17" s="83">
        <f t="shared" si="0"/>
        <v>74.287964673525892</v>
      </c>
      <c r="G17" s="83">
        <f t="shared" si="0"/>
        <v>73.854222000134087</v>
      </c>
      <c r="H17" s="83">
        <f t="shared" si="0"/>
        <v>73.145093744834028</v>
      </c>
      <c r="I17" s="83">
        <f t="shared" si="0"/>
        <v>71.995695653916613</v>
      </c>
      <c r="J17" s="83">
        <f t="shared" si="0"/>
        <v>70.351529341469288</v>
      </c>
      <c r="K17" s="83">
        <f>IF('Criteria results'!$F$5=4,K$11+'Input data'!C76,K$11)</f>
        <v>72.107445411448154</v>
      </c>
      <c r="L17" s="83">
        <f>IF('Criteria results'!$F$5=4,L$11+'Input data'!D76,L$11)</f>
        <v>71.394544194818266</v>
      </c>
      <c r="M17" s="83">
        <f>IF('Criteria results'!$F$5=4,M$11+'Input data'!E76,M$11)</f>
        <v>70.538346196914674</v>
      </c>
      <c r="N17" s="83">
        <f>IF('Criteria results'!$F$5=4,N$11+'Input data'!F76,N$11+'Input data'!C76)</f>
        <v>69.799637606159138</v>
      </c>
      <c r="O17" s="83">
        <f>IF('Criteria results'!$F$5=4,O$11+'Input data'!G76,O$11+'Input data'!D76)</f>
        <v>69.127834906805901</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76.688640000000007</v>
      </c>
      <c r="D18" s="83">
        <f t="shared" si="0"/>
        <v>74.056958506530165</v>
      </c>
      <c r="E18" s="83">
        <f t="shared" si="0"/>
        <v>73.520357526734585</v>
      </c>
      <c r="F18" s="83">
        <f t="shared" si="0"/>
        <v>74.287964673525892</v>
      </c>
      <c r="G18" s="83">
        <f t="shared" si="0"/>
        <v>73.854222000134087</v>
      </c>
      <c r="H18" s="83">
        <f t="shared" si="0"/>
        <v>73.145093744834028</v>
      </c>
      <c r="I18" s="83">
        <f t="shared" si="0"/>
        <v>71.995695653916613</v>
      </c>
      <c r="J18" s="83">
        <f t="shared" si="0"/>
        <v>70.351529341469288</v>
      </c>
      <c r="K18" s="83">
        <f>IF('Criteria results'!$F$5=4,K$11+'Input data'!C77,K$11)</f>
        <v>77.848549537424717</v>
      </c>
      <c r="L18" s="83">
        <f>IF('Criteria results'!$F$5=4,L$11+'Input data'!D77,L$11)</f>
        <v>79.923902104974516</v>
      </c>
      <c r="M18" s="83">
        <f>IF('Criteria results'!$F$5=4,M$11+'Input data'!E77,M$11)</f>
        <v>80.627526189590455</v>
      </c>
      <c r="N18" s="83">
        <f>IF('Criteria results'!$F$5=4,N$11+'Input data'!F77,N$11+'Input data'!C77)</f>
        <v>81.614456942096638</v>
      </c>
      <c r="O18" s="83">
        <f>IF('Criteria results'!$F$5=4,O$11+'Input data'!G77,O$11+'Input data'!D77)</f>
        <v>82.342884650458245</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71.995695653916613</v>
      </c>
      <c r="D22" s="83">
        <f>IF('Criteria results'!$F$5=4,J$11,M$11)</f>
        <v>70.351529341469288</v>
      </c>
      <c r="E22" s="83">
        <f>IF('Criteria results'!$F$5=4,K$11+'Input data'!C74,N$11+'Input data'!C74)</f>
        <v>58.899220161204013</v>
      </c>
      <c r="F22" s="83">
        <f>IF('Criteria results'!$F$5=4,L$11+'Input data'!D74,O$11+'Input data'!D74)</f>
        <v>52.991574834466704</v>
      </c>
      <c r="G22" s="83">
        <f>IF('Criteria results'!$F$5=4,M$11+'Input data'!E74,P$11+'Input data'!E74)</f>
        <v>48.42430963685608</v>
      </c>
      <c r="H22" s="83">
        <f>IF('Criteria results'!$F$5=4,N$11+'Input data'!F74,Q$11+'Input data'!F74)</f>
        <v>44.364502718463832</v>
      </c>
      <c r="I22" s="83">
        <f>IF('Criteria results'!$F$5=4,O$11+'Input data'!G74,R$11+'Input data'!G74)</f>
        <v>40.903816809882066</v>
      </c>
      <c r="P22" s="83"/>
      <c r="Q22" s="83"/>
      <c r="R22" s="83"/>
    </row>
    <row r="23" spans="2:18" x14ac:dyDescent="0.2">
      <c r="B23" s="5" t="s">
        <v>158</v>
      </c>
      <c r="C23" s="83">
        <v>0</v>
      </c>
      <c r="D23" s="83">
        <v>0</v>
      </c>
      <c r="E23" s="83">
        <f>'Input data'!C75-'Input data'!C74</f>
        <v>5.5144386291503906</v>
      </c>
      <c r="F23" s="83">
        <f>'Input data'!D75-'Input data'!D74</f>
        <v>7.7128448486328125</v>
      </c>
      <c r="G23" s="83">
        <f>'Input data'!E75-'Input data'!E74</f>
        <v>8.9697303771972656</v>
      </c>
      <c r="H23" s="83">
        <f>'Input data'!F75-'Input data'!F74</f>
        <v>10.354469299316406</v>
      </c>
      <c r="I23" s="83">
        <f>'Input data'!G75-'Input data'!G74</f>
        <v>11.519641876220703</v>
      </c>
      <c r="P23" s="83"/>
      <c r="Q23" s="83"/>
      <c r="R23" s="83"/>
    </row>
    <row r="24" spans="2:18" x14ac:dyDescent="0.2">
      <c r="B24" s="5" t="s">
        <v>159</v>
      </c>
      <c r="C24" s="83">
        <v>0</v>
      </c>
      <c r="D24" s="83">
        <v>0</v>
      </c>
      <c r="E24" s="83">
        <f>-'Input data'!C75</f>
        <v>3.806549072265625</v>
      </c>
      <c r="F24" s="83">
        <f>-'Input data'!D75</f>
        <v>5.3011322021484375</v>
      </c>
      <c r="G24" s="83">
        <f>-'Input data'!E75</f>
        <v>6.3648338317871094</v>
      </c>
      <c r="H24" s="83">
        <f>-'Input data'!F75</f>
        <v>7.2958259582519531</v>
      </c>
      <c r="I24" s="83">
        <f>-'Input data'!G75</f>
        <v>8.0173225402832031</v>
      </c>
      <c r="P24" s="83"/>
      <c r="Q24" s="83"/>
      <c r="R24" s="83"/>
    </row>
    <row r="25" spans="2:18" x14ac:dyDescent="0.2">
      <c r="B25" s="5" t="s">
        <v>160</v>
      </c>
      <c r="C25" s="83">
        <v>0</v>
      </c>
      <c r="D25" s="83">
        <v>0</v>
      </c>
      <c r="E25" s="83">
        <f>'Input data'!C76</f>
        <v>3.887237548828125</v>
      </c>
      <c r="F25" s="83">
        <f>'Input data'!D76</f>
        <v>5.3889923095703125</v>
      </c>
      <c r="G25" s="83">
        <f>'Input data'!E76</f>
        <v>6.7794723510742188</v>
      </c>
      <c r="H25" s="83">
        <f>'Input data'!F76</f>
        <v>7.7848396301269531</v>
      </c>
      <c r="I25" s="83">
        <f>'Input data'!G76</f>
        <v>8.6870536804199219</v>
      </c>
      <c r="P25" s="83"/>
      <c r="Q25" s="83"/>
      <c r="R25" s="83"/>
    </row>
    <row r="26" spans="2:18" x14ac:dyDescent="0.2">
      <c r="B26" s="5" t="s">
        <v>161</v>
      </c>
      <c r="C26" s="83">
        <v>0</v>
      </c>
      <c r="D26" s="83">
        <v>0</v>
      </c>
      <c r="E26" s="83">
        <f>'Input data'!C77-'Input data'!C76</f>
        <v>5.7411041259765625</v>
      </c>
      <c r="F26" s="83">
        <f>'Input data'!D77-'Input data'!D76</f>
        <v>8.52935791015625</v>
      </c>
      <c r="G26" s="83">
        <f>'Input data'!E77-'Input data'!E76</f>
        <v>10.089179992675781</v>
      </c>
      <c r="H26" s="83">
        <f>'Input data'!F77-'Input data'!F76</f>
        <v>11.8148193359375</v>
      </c>
      <c r="I26" s="83">
        <f>'Input data'!G77-'Input data'!G76</f>
        <v>13.215049743652344</v>
      </c>
      <c r="P26" s="83"/>
      <c r="Q26" s="83"/>
      <c r="R26" s="83"/>
    </row>
    <row r="27" spans="2:18" x14ac:dyDescent="0.2">
      <c r="B27" s="5" t="s">
        <v>153</v>
      </c>
      <c r="C27" s="83">
        <f>IF('Criteria results'!$F$5=4,I$11,L$11)</f>
        <v>71.995695653916613</v>
      </c>
      <c r="D27" s="83">
        <f>IF('Criteria results'!$F$5=4,J$11,M$11)</f>
        <v>70.351529341469288</v>
      </c>
      <c r="E27" s="83">
        <f>IF('Criteria results'!$F$5=4,K$11+'Input data'!C74,N$11+'Input data'!C74)</f>
        <v>58.899220161204013</v>
      </c>
      <c r="F27" s="83">
        <f>IF('Criteria results'!$F$5=4,L$11+'Input data'!D74,O$11+'Input data'!D74)</f>
        <v>52.991574834466704</v>
      </c>
      <c r="G27" s="83">
        <f>IF('Criteria results'!$F$5=4,M$11+'Input data'!E74,P$11+'Input data'!E74)</f>
        <v>48.42430963685608</v>
      </c>
      <c r="H27" s="83">
        <f>IF('Criteria results'!$F$5=4,N$11+'Input data'!F74,Q$11+'Input data'!F74)</f>
        <v>44.364502718463832</v>
      </c>
      <c r="I27" s="83">
        <f>IF('Criteria results'!$F$5=4,O$11+'Input data'!G74,R$11+'Input data'!G74)</f>
        <v>40.903816809882066</v>
      </c>
    </row>
    <row r="28" spans="2:18" x14ac:dyDescent="0.2">
      <c r="B28" s="5" t="s">
        <v>154</v>
      </c>
      <c r="C28" s="83">
        <f>IF('Criteria results'!$F$5=4,I$11,L$11)</f>
        <v>71.995695653916613</v>
      </c>
      <c r="D28" s="83">
        <f>IF('Criteria results'!$F$5=4,J$11,M$11)</f>
        <v>70.351529341469288</v>
      </c>
      <c r="E28" s="83">
        <f>IF('Criteria results'!$F$5=4,K$11+'Input data'!C75,N$11+'Input data'!C75)</f>
        <v>64.413658790354404</v>
      </c>
      <c r="F28" s="83">
        <f>IF('Criteria results'!$F$5=4,L$11+'Input data'!D75,O$11+'Input data'!D75)</f>
        <v>60.704419683099516</v>
      </c>
      <c r="G28" s="83">
        <f>IF('Criteria results'!$F$5=4,M$11+'Input data'!E75,P$11+'Input data'!E75)</f>
        <v>57.394040014053346</v>
      </c>
      <c r="H28" s="83">
        <f>IF('Criteria results'!$F$5=4,N$11+'Input data'!F75,Q$11+'Input data'!F75)</f>
        <v>54.718972017780239</v>
      </c>
      <c r="I28" s="83">
        <f>IF('Criteria results'!$F$5=4,O$11+'Input data'!G75,R$11+'Input data'!G75)</f>
        <v>52.423458686102769</v>
      </c>
      <c r="P28" s="83"/>
      <c r="Q28" s="83"/>
      <c r="R28" s="83"/>
    </row>
    <row r="29" spans="2:18" x14ac:dyDescent="0.2">
      <c r="B29" s="5" t="s">
        <v>162</v>
      </c>
      <c r="C29" s="83">
        <f>IF('Criteria results'!$F$5=4,I$11,L$11)</f>
        <v>71.995695653916613</v>
      </c>
      <c r="D29" s="83">
        <f>IF('Criteria results'!$F$5=4,J$11,M$11)</f>
        <v>70.351529341469288</v>
      </c>
      <c r="E29" s="83">
        <f>IF('Criteria results'!$F$5=4,K$11,N$11)</f>
        <v>68.220207862620029</v>
      </c>
      <c r="F29" s="83">
        <f>IF('Criteria results'!$F$5=4,L$11,O$11)</f>
        <v>66.005551885247954</v>
      </c>
      <c r="G29" s="83">
        <f>IF('Criteria results'!$F$5=4,M$11,P$11)</f>
        <v>63.758873845840455</v>
      </c>
      <c r="H29" s="83">
        <f>IF('Criteria results'!$F$5=4,N$11,Q$11)</f>
        <v>62.014797976032192</v>
      </c>
      <c r="I29" s="83">
        <f>IF('Criteria results'!$F$5=4,O$11,R$11)</f>
        <v>60.440781226385973</v>
      </c>
      <c r="P29" s="83"/>
      <c r="Q29" s="83"/>
      <c r="R29" s="83"/>
    </row>
    <row r="30" spans="2:18" x14ac:dyDescent="0.2">
      <c r="B30" s="5" t="s">
        <v>155</v>
      </c>
      <c r="C30" s="83">
        <f>IF('Criteria results'!$F$5=4,I$11,L$11)</f>
        <v>71.995695653916613</v>
      </c>
      <c r="D30" s="83">
        <f>IF('Criteria results'!$F$5=4,J$11,M$11)</f>
        <v>70.351529341469288</v>
      </c>
      <c r="E30" s="83">
        <f>IF('Criteria results'!$F$5=4,K$11+'Input data'!C76,N$11+'Input data'!C76)</f>
        <v>72.107445411448154</v>
      </c>
      <c r="F30" s="83">
        <f>IF('Criteria results'!$F$5=4,L$11+'Input data'!D76,O$11+'Input data'!D76)</f>
        <v>71.394544194818266</v>
      </c>
      <c r="G30" s="83">
        <f>IF('Criteria results'!$F$5=4,M$11+'Input data'!E76,P$11+'Input data'!E76)</f>
        <v>70.538346196914674</v>
      </c>
      <c r="H30" s="83">
        <f>IF('Criteria results'!$F$5=4,N$11+'Input data'!F76,Q$11+'Input data'!F76)</f>
        <v>69.799637606159138</v>
      </c>
      <c r="I30" s="83">
        <f>IF('Criteria results'!$F$5=4,O$11+'Input data'!G76,R$11+'Input data'!G76)</f>
        <v>69.127834906805901</v>
      </c>
      <c r="J30" s="83"/>
      <c r="K30" s="83"/>
      <c r="L30" s="83"/>
      <c r="M30" s="83"/>
      <c r="N30" s="83"/>
      <c r="O30" s="83"/>
    </row>
    <row r="31" spans="2:18" x14ac:dyDescent="0.2">
      <c r="B31" s="5" t="s">
        <v>156</v>
      </c>
      <c r="C31" s="83">
        <f>IF('Criteria results'!$F$5=4,I$11,L$11)</f>
        <v>71.995695653916613</v>
      </c>
      <c r="D31" s="83">
        <f>IF('Criteria results'!$F$5=4,J$11,M$11)</f>
        <v>70.351529341469288</v>
      </c>
      <c r="E31" s="83">
        <f>IF('Criteria results'!$F$5=4,K$11+'Input data'!C77,N$11+'Input data'!C77)</f>
        <v>77.848549537424717</v>
      </c>
      <c r="F31" s="83">
        <f>IF('Criteria results'!$F$5=4,L$11+'Input data'!D77,O$11+'Input data'!D77)</f>
        <v>79.923902104974516</v>
      </c>
      <c r="G31" s="83">
        <f>IF('Criteria results'!$F$5=4,M$11+'Input data'!E77,P$11+'Input data'!E77)</f>
        <v>80.627526189590455</v>
      </c>
      <c r="H31" s="83">
        <f>IF('Criteria results'!$F$5=4,N$11+'Input data'!F77,Q$11+'Input data'!F77)</f>
        <v>81.614456942096638</v>
      </c>
      <c r="I31" s="83">
        <f>IF('Criteria results'!$F$5=4,O$11+'Input data'!G77,R$11+'Input data'!G77)</f>
        <v>82.342884650458245</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219</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240</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220</v>
      </c>
      <c r="D5" s="344">
        <v>57</v>
      </c>
      <c r="E5" s="345" t="s">
        <v>221</v>
      </c>
      <c r="F5" s="332">
        <f ca="1">INDEX(OFFSET('Adjustment scenario'!$D$1:$W$1,$D5-1,0),MATCH(F$4,'Adjustment scenario'!$D$10:$W$10,0))</f>
        <v>73.520357526734585</v>
      </c>
      <c r="G5" s="332">
        <f ca="1">INDEX(OFFSET('Adjustment scenario'!$D$1:$W$1,$D5-1,0),MATCH(G$4,'Adjustment scenario'!$D$10:$W$10,0))</f>
        <v>74.287964673525892</v>
      </c>
      <c r="H5" s="332">
        <f ca="1">INDEX(OFFSET('Adjustment scenario'!$D$1:$W$1,$D5-1,0),MATCH(H$4,'Adjustment scenario'!$D$10:$W$10,0))</f>
        <v>73.854222000134087</v>
      </c>
      <c r="I5" s="332">
        <f ca="1">INDEX(OFFSET('Adjustment scenario'!$D$1:$W$1,$D5-1,0),MATCH(I$4,'Adjustment scenario'!$D$10:$W$10,0))</f>
        <v>73.145093744834028</v>
      </c>
      <c r="J5" s="332">
        <f ca="1">INDEX(OFFSET('Adjustment scenario'!$D$1:$W$1,$D5-1,0),MATCH(J$4,'Adjustment scenario'!$D$10:$W$10,0))</f>
        <v>71.995695653916613</v>
      </c>
      <c r="K5" s="332">
        <f ca="1">INDEX(OFFSET('Adjustment scenario'!$D$1:$W$1,$D5-1,0),MATCH(K$4,'Adjustment scenario'!$D$10:$W$10,0))</f>
        <v>70.351529341469288</v>
      </c>
      <c r="L5" s="332">
        <f ca="1">INDEX(OFFSET('Adjustment scenario'!$D$1:$W$1,$D5-1,0),MATCH(L$4,'Adjustment scenario'!$D$10:$W$10,0))</f>
        <v>68.220207862620029</v>
      </c>
      <c r="M5" s="332">
        <f ca="1">INDEX(OFFSET('Adjustment scenario'!$D$1:$W$1,$D5-1,0),MATCH(M$4,'Adjustment scenario'!$D$10:$W$10,0))</f>
        <v>66.005551885247954</v>
      </c>
      <c r="N5" s="332">
        <f ca="1">INDEX(OFFSET('Adjustment scenario'!$D$1:$W$1,$D5-1,0),MATCH(N$4,'Adjustment scenario'!$D$10:$W$10,0))</f>
        <v>63.758873845840455</v>
      </c>
      <c r="O5" s="332">
        <f ca="1">INDEX(OFFSET('Adjustment scenario'!$D$1:$W$1,$D5-1,0),MATCH(O$4,'Adjustment scenario'!$D$10:$W$10,0))</f>
        <v>62.014797976032192</v>
      </c>
      <c r="P5" s="332">
        <f ca="1">INDEX(OFFSET('Adjustment scenario'!$D$1:$W$1,$D5-1,0),MATCH(P$4,'Adjustment scenario'!$D$10:$W$10,0))</f>
        <v>60.440781226385973</v>
      </c>
      <c r="Q5" s="332">
        <f ca="1">INDEX(OFFSET('Adjustment scenario'!$D$1:$W$1,$D5-1,0),MATCH(Q$4,'Adjustment scenario'!$D$10:$W$10,0))</f>
        <v>59.026867815732409</v>
      </c>
      <c r="R5" s="332">
        <f ca="1">INDEX(OFFSET('Adjustment scenario'!$D$1:$W$1,$D5-1,0),MATCH(R$4,'Adjustment scenario'!$D$10:$W$10,0))</f>
        <v>57.802291982818204</v>
      </c>
      <c r="S5" s="332">
        <f ca="1">INDEX(OFFSET('Adjustment scenario'!$D$1:$W$1,$D5-1,0),MATCH(S$4,'Adjustment scenario'!$D$10:$W$10,0))</f>
        <v>56.790330100508918</v>
      </c>
      <c r="T5" s="332">
        <f ca="1">INDEX(OFFSET('Adjustment scenario'!$D$1:$W$1,$D5-1,0),MATCH(T$4,'Adjustment scenario'!$D$10:$W$10,0))</f>
        <v>55.977034476616197</v>
      </c>
      <c r="U5" s="332">
        <f ca="1">INDEX(OFFSET('Adjustment scenario'!$D$1:$W$1,$D5-1,0),MATCH(U$4,'Adjustment scenario'!$D$10:$W$10,0))</f>
        <v>55.392400142926711</v>
      </c>
      <c r="V5" s="332">
        <f ca="1">INDEX(OFFSET('Adjustment scenario'!$D$1:$W$1,$D5-1,0),MATCH(V$4,'Adjustment scenario'!$D$10:$W$10,0))</f>
        <v>55.048814322300601</v>
      </c>
      <c r="W5" s="332">
        <f ca="1">INDEX(OFFSET('Adjustment scenario'!$D$1:$W$1,$D5-1,0),MATCH(W$4,'Adjustment scenario'!$D$10:$W$10,0))</f>
        <v>54.948375777158063</v>
      </c>
      <c r="X5" s="332">
        <f ca="1">INDEX(OFFSET('Adjustment scenario'!$D$1:$W$1,$D5-1,0),MATCH(X$4,'Adjustment scenario'!$D$10:$W$10,0))</f>
        <v>55.105753385165151</v>
      </c>
      <c r="Y5" s="271"/>
    </row>
    <row r="6" spans="1:25" x14ac:dyDescent="0.2">
      <c r="A6" s="271"/>
      <c r="B6" s="339">
        <v>2</v>
      </c>
      <c r="C6" s="343" t="s">
        <v>222</v>
      </c>
      <c r="D6" s="344">
        <v>77</v>
      </c>
      <c r="E6" s="345" t="s">
        <v>221</v>
      </c>
      <c r="F6" s="332">
        <f ca="1">INDEX(OFFSET('Adjustment scenario'!$D$1:$W$1,$D6-1,0),MATCH(F$4,'Adjustment scenario'!$D$10:$W$10,0))</f>
        <v>-6.6919850786797799</v>
      </c>
      <c r="G6" s="332">
        <f ca="1">INDEX(OFFSET('Adjustment scenario'!$D$1:$W$1,$D6-1,0),MATCH(G$4,'Adjustment scenario'!$D$10:$W$10,0))</f>
        <v>-5.4353291790997966</v>
      </c>
      <c r="H6" s="332">
        <f ca="1">INDEX(OFFSET('Adjustment scenario'!$D$1:$W$1,$D6-1,0),MATCH(H$4,'Adjustment scenario'!$D$10:$W$10,0))</f>
        <v>-3.8879717175187691</v>
      </c>
      <c r="I6" s="332">
        <f ca="1">INDEX(OFFSET('Adjustment scenario'!$D$1:$W$1,$D6-1,0),MATCH(I$4,'Adjustment scenario'!$D$10:$W$10,0))</f>
        <v>-3.3942993926767917</v>
      </c>
      <c r="J6" s="332">
        <f ca="1">INDEX(OFFSET('Adjustment scenario'!$D$1:$W$1,$D6-1,0),MATCH(J$4,'Adjustment scenario'!$D$10:$W$10,0))</f>
        <v>-2.8128622023118801</v>
      </c>
      <c r="K6" s="332">
        <f ca="1">INDEX(OFFSET('Adjustment scenario'!$D$1:$W$1,$D6-1,0),MATCH(K$4,'Adjustment scenario'!$D$10:$W$10,0))</f>
        <v>-2.1714320939948344</v>
      </c>
      <c r="L6" s="332">
        <f ca="1">INDEX(OFFSET('Adjustment scenario'!$D$1:$W$1,$D6-1,0),MATCH(L$4,'Adjustment scenario'!$D$10:$W$10,0))</f>
        <v>-1.9068459290825004</v>
      </c>
      <c r="M6" s="332">
        <f ca="1">INDEX(OFFSET('Adjustment scenario'!$D$1:$W$1,$D6-1,0),MATCH(M$4,'Adjustment scenario'!$D$10:$W$10,0))</f>
        <v>-1.6573016415184556</v>
      </c>
      <c r="N6" s="332">
        <f ca="1">INDEX(OFFSET('Adjustment scenario'!$D$1:$W$1,$D6-1,0),MATCH(N$4,'Adjustment scenario'!$D$10:$W$10,0))</f>
        <v>-1.4320555586275643</v>
      </c>
      <c r="O6" s="332">
        <f ca="1">INDEX(OFFSET('Adjustment scenario'!$D$1:$W$1,$D6-1,0),MATCH(O$4,'Adjustment scenario'!$D$10:$W$10,0))</f>
        <v>-1.4326022873242592</v>
      </c>
      <c r="P6" s="332">
        <f ca="1">INDEX(OFFSET('Adjustment scenario'!$D$1:$W$1,$D6-1,0),MATCH(P$4,'Adjustment scenario'!$D$10:$W$10,0))</f>
        <v>-1.465073583516963</v>
      </c>
      <c r="Q6" s="332">
        <f ca="1">INDEX(OFFSET('Adjustment scenario'!$D$1:$W$1,$D6-1,0),MATCH(Q$4,'Adjustment scenario'!$D$10:$W$10,0))</f>
        <v>-1.5207593940074164</v>
      </c>
      <c r="R6" s="332">
        <f ca="1">INDEX(OFFSET('Adjustment scenario'!$D$1:$W$1,$D6-1,0),MATCH(R$4,'Adjustment scenario'!$D$10:$W$10,0))</f>
        <v>-1.6147791649033305</v>
      </c>
      <c r="S6" s="332">
        <f ca="1">INDEX(OFFSET('Adjustment scenario'!$D$1:$W$1,$D6-1,0),MATCH(S$4,'Adjustment scenario'!$D$10:$W$10,0))</f>
        <v>-1.7423580876732805</v>
      </c>
      <c r="T6" s="332">
        <f ca="1">INDEX(OFFSET('Adjustment scenario'!$D$1:$W$1,$D6-1,0),MATCH(T$4,'Adjustment scenario'!$D$10:$W$10,0))</f>
        <v>-1.8832132645160193</v>
      </c>
      <c r="U6" s="332">
        <f ca="1">INDEX(OFFSET('Adjustment scenario'!$D$1:$W$1,$D6-1,0),MATCH(U$4,'Adjustment scenario'!$D$10:$W$10,0))</f>
        <v>-2.039816113986447</v>
      </c>
      <c r="V6" s="332">
        <f ca="1">INDEX(OFFSET('Adjustment scenario'!$D$1:$W$1,$D6-1,0),MATCH(V$4,'Adjustment scenario'!$D$10:$W$10,0))</f>
        <v>-2.2196770030506556</v>
      </c>
      <c r="W6" s="332">
        <f ca="1">INDEX(OFFSET('Adjustment scenario'!$D$1:$W$1,$D6-1,0),MATCH(W$4,'Adjustment scenario'!$D$10:$W$10,0))</f>
        <v>-2.4239040463373334</v>
      </c>
      <c r="X6" s="332">
        <f ca="1">INDEX(OFFSET('Adjustment scenario'!$D$1:$W$1,$D6-1,0),MATCH(X$4,'Adjustment scenario'!$D$10:$W$10,0))</f>
        <v>-2.6626799406962891</v>
      </c>
      <c r="Y6" s="271"/>
    </row>
    <row r="7" spans="1:25" x14ac:dyDescent="0.2">
      <c r="A7" s="271"/>
      <c r="B7" s="339">
        <v>3</v>
      </c>
      <c r="C7" s="343" t="s">
        <v>40</v>
      </c>
      <c r="D7" s="344">
        <v>12</v>
      </c>
      <c r="E7" s="345" t="s">
        <v>223</v>
      </c>
      <c r="F7" s="332">
        <f ca="1">INDEX(OFFSET('Adjustment scenario'!$D$1:$W$1,$D7-1,0),MATCH(F$4,'Adjustment scenario'!$D$10:$W$10,0))</f>
        <v>-1.336916</v>
      </c>
      <c r="G7" s="332">
        <f ca="1">INDEX(OFFSET('Adjustment scenario'!$D$1:$W$1,$D7-1,0),MATCH(G$4,'Adjustment scenario'!$D$10:$W$10,0))</f>
        <v>3.4885699999999999E-2</v>
      </c>
      <c r="H7" s="332">
        <f ca="1">INDEX(OFFSET('Adjustment scenario'!$D$1:$W$1,$D7-1,0),MATCH(H$4,'Adjustment scenario'!$D$10:$W$10,0))</f>
        <v>0.69488570000000005</v>
      </c>
      <c r="I7" s="332">
        <f ca="1">INDEX(OFFSET('Adjustment scenario'!$D$1:$W$1,$D7-1,0),MATCH(I$4,'Adjustment scenario'!$D$10:$W$10,0))</f>
        <v>1.3548857000000001</v>
      </c>
      <c r="J7" s="332">
        <f ca="1">INDEX(OFFSET('Adjustment scenario'!$D$1:$W$1,$D7-1,0),MATCH(J$4,'Adjustment scenario'!$D$10:$W$10,0))</f>
        <v>2.0148857000000002</v>
      </c>
      <c r="K7" s="332">
        <f ca="1">INDEX(OFFSET('Adjustment scenario'!$D$1:$W$1,$D7-1,0),MATCH(K$4,'Adjustment scenario'!$D$10:$W$10,0))</f>
        <v>2.6748857000000004</v>
      </c>
      <c r="L7" s="332">
        <f ca="1">INDEX(OFFSET('Adjustment scenario'!$D$1:$W$1,$D7-1,0),MATCH(L$4,'Adjustment scenario'!$D$10:$W$10,0))</f>
        <v>2.6748857000000004</v>
      </c>
      <c r="M7" s="332">
        <f ca="1">INDEX(OFFSET('Adjustment scenario'!$D$1:$W$1,$D7-1,0),MATCH(M$4,'Adjustment scenario'!$D$10:$W$10,0))</f>
        <v>2.6748857000000004</v>
      </c>
      <c r="N7" s="332">
        <f ca="1">INDEX(OFFSET('Adjustment scenario'!$D$1:$W$1,$D7-1,0),MATCH(N$4,'Adjustment scenario'!$D$10:$W$10,0))</f>
        <v>2.6748857000000004</v>
      </c>
      <c r="O7" s="332">
        <f ca="1">INDEX(OFFSET('Adjustment scenario'!$D$1:$W$1,$D7-1,0),MATCH(O$4,'Adjustment scenario'!$D$10:$W$10,0))</f>
        <v>2.6748857000000004</v>
      </c>
      <c r="P7" s="332">
        <f ca="1">INDEX(OFFSET('Adjustment scenario'!$D$1:$W$1,$D7-1,0),MATCH(P$4,'Adjustment scenario'!$D$10:$W$10,0))</f>
        <v>2.6748857000000004</v>
      </c>
      <c r="Q7" s="332">
        <f ca="1">INDEX(OFFSET('Adjustment scenario'!$D$1:$W$1,$D7-1,0),MATCH(Q$4,'Adjustment scenario'!$D$10:$W$10,0))</f>
        <v>2.6748857000000004</v>
      </c>
      <c r="R7" s="332">
        <f ca="1">INDEX(OFFSET('Adjustment scenario'!$D$1:$W$1,$D7-1,0),MATCH(R$4,'Adjustment scenario'!$D$10:$W$10,0))</f>
        <v>2.6748857000000004</v>
      </c>
      <c r="S7" s="332">
        <f ca="1">INDEX(OFFSET('Adjustment scenario'!$D$1:$W$1,$D7-1,0),MATCH(S$4,'Adjustment scenario'!$D$10:$W$10,0))</f>
        <v>2.6748857000000004</v>
      </c>
      <c r="T7" s="332">
        <f ca="1">INDEX(OFFSET('Adjustment scenario'!$D$1:$W$1,$D7-1,0),MATCH(T$4,'Adjustment scenario'!$D$10:$W$10,0))</f>
        <v>2.6748857000000004</v>
      </c>
      <c r="U7" s="332">
        <f ca="1">INDEX(OFFSET('Adjustment scenario'!$D$1:$W$1,$D7-1,0),MATCH(U$4,'Adjustment scenario'!$D$10:$W$10,0))</f>
        <v>2.6748857000000004</v>
      </c>
      <c r="V7" s="332">
        <f ca="1">INDEX(OFFSET('Adjustment scenario'!$D$1:$W$1,$D7-1,0),MATCH(V$4,'Adjustment scenario'!$D$10:$W$10,0))</f>
        <v>2.6748857000000004</v>
      </c>
      <c r="W7" s="332">
        <f ca="1">INDEX(OFFSET('Adjustment scenario'!$D$1:$W$1,$D7-1,0),MATCH(W$4,'Adjustment scenario'!$D$10:$W$10,0))</f>
        <v>2.6748857000000004</v>
      </c>
      <c r="X7" s="332">
        <f ca="1">INDEX(OFFSET('Adjustment scenario'!$D$1:$W$1,$D7-1,0),MATCH(X$4,'Adjustment scenario'!$D$10:$W$10,0))</f>
        <v>2.6748857000000004</v>
      </c>
      <c r="Y7" s="271"/>
    </row>
    <row r="8" spans="1:25" x14ac:dyDescent="0.2">
      <c r="A8" s="271"/>
      <c r="B8" s="339">
        <v>4</v>
      </c>
      <c r="C8" s="343" t="s">
        <v>224</v>
      </c>
      <c r="D8" s="344">
        <v>62</v>
      </c>
      <c r="E8" s="345" t="s">
        <v>223</v>
      </c>
      <c r="F8" s="332">
        <f ca="1">INDEX(OFFSET('Adjustment scenario'!$D$1:$W$1,$D8-1,0),MATCH(F$4,'Adjustment scenario'!$D$10:$W$10,0))</f>
        <v>0.64662902020442647</v>
      </c>
      <c r="G8" s="332">
        <f ca="1">INDEX(OFFSET('Adjustment scenario'!$D$1:$W$1,$D8-1,0),MATCH(G$4,'Adjustment scenario'!$D$10:$W$10,0))</f>
        <v>0.55205494679130895</v>
      </c>
      <c r="H8" s="332">
        <f ca="1">INDEX(OFFSET('Adjustment scenario'!$D$1:$W$1,$D8-1,0),MATCH(H$4,'Adjustment scenario'!$D$10:$W$10,0))</f>
        <v>0.41499741421064906</v>
      </c>
      <c r="I8" s="332">
        <f ca="1">INDEX(OFFSET('Adjustment scenario'!$D$1:$W$1,$D8-1,0),MATCH(I$4,'Adjustment scenario'!$D$10:$W$10,0))</f>
        <v>0.49393725891369344</v>
      </c>
      <c r="J8" s="332">
        <f ca="1">INDEX(OFFSET('Adjustment scenario'!$D$1:$W$1,$D8-1,0),MATCH(J$4,'Adjustment scenario'!$D$10:$W$10,0))</f>
        <v>0.54647424106093156</v>
      </c>
      <c r="K8" s="332">
        <f ca="1">INDEX(OFFSET('Adjustment scenario'!$D$1:$W$1,$D8-1,0),MATCH(K$4,'Adjustment scenario'!$D$10:$W$10,0))</f>
        <v>0.5814435726708429</v>
      </c>
      <c r="L8" s="332">
        <f ca="1">INDEX(OFFSET('Adjustment scenario'!$D$1:$W$1,$D8-1,0),MATCH(L$4,'Adjustment scenario'!$D$10:$W$10,0))</f>
        <v>0.38762904844722695</v>
      </c>
      <c r="M8" s="332">
        <f ca="1">INDEX(OFFSET('Adjustment scenario'!$D$1:$W$1,$D8-1,0),MATCH(M$4,'Adjustment scenario'!$D$10:$W$10,0))</f>
        <v>0.19381452422361095</v>
      </c>
      <c r="N8" s="332">
        <f ca="1">INDEX(OFFSET('Adjustment scenario'!$D$1:$W$1,$D8-1,0),MATCH(N$4,'Adjustment scenario'!$D$10:$W$10,0))</f>
        <v>0</v>
      </c>
      <c r="O8" s="332">
        <f ca="1">INDEX(OFFSET('Adjustment scenario'!$D$1:$W$1,$D8-1,0),MATCH(O$4,'Adjustment scenario'!$D$10:$W$10,0))</f>
        <v>-4.4456428478500952E-7</v>
      </c>
      <c r="P8" s="332">
        <f ca="1">INDEX(OFFSET('Adjustment scenario'!$D$1:$W$1,$D8-1,0),MATCH(P$4,'Adjustment scenario'!$D$10:$W$10,0))</f>
        <v>-1.7784514113383666E-6</v>
      </c>
      <c r="Q8" s="332">
        <f ca="1">INDEX(OFFSET('Adjustment scenario'!$D$1:$W$1,$D8-1,0),MATCH(Q$4,'Adjustment scenario'!$D$10:$W$10,0))</f>
        <v>-2.6680410781354527E-6</v>
      </c>
      <c r="R8" s="332">
        <f ca="1">INDEX(OFFSET('Adjustment scenario'!$D$1:$W$1,$D8-1,0),MATCH(R$4,'Adjustment scenario'!$D$10:$W$10,0))</f>
        <v>-1.7781196076205319E-6</v>
      </c>
      <c r="S8" s="332">
        <f ca="1">INDEX(OFFSET('Adjustment scenario'!$D$1:$W$1,$D8-1,0),MATCH(S$4,'Adjustment scenario'!$D$10:$W$10,0))</f>
        <v>-2.2232463503524258E-6</v>
      </c>
      <c r="T8" s="332">
        <f ca="1">INDEX(OFFSET('Adjustment scenario'!$D$1:$W$1,$D8-1,0),MATCH(T$4,'Adjustment scenario'!$D$10:$W$10,0))</f>
        <v>-8.8776525430933617E-7</v>
      </c>
      <c r="U8" s="332">
        <f ca="1">INDEX(OFFSET('Adjustment scenario'!$D$1:$W$1,$D8-1,0),MATCH(U$4,'Adjustment scenario'!$D$10:$W$10,0))</f>
        <v>-8.8776525430933617E-7</v>
      </c>
      <c r="V8" s="332">
        <f ca="1">INDEX(OFFSET('Adjustment scenario'!$D$1:$W$1,$D8-1,0),MATCH(V$4,'Adjustment scenario'!$D$10:$W$10,0))</f>
        <v>-1.3333990923403151E-6</v>
      </c>
      <c r="W8" s="332">
        <f ca="1">INDEX(OFFSET('Adjustment scenario'!$D$1:$W$1,$D8-1,0),MATCH(W$4,'Adjustment scenario'!$D$10:$W$10,0))</f>
        <v>-2.6707506693535168E-6</v>
      </c>
      <c r="X8" s="332">
        <f ca="1">INDEX(OFFSET('Adjustment scenario'!$D$1:$W$1,$D8-1,0),MATCH(X$4,'Adjustment scenario'!$D$10:$W$10,0))</f>
        <v>-3.1166118623859874E-6</v>
      </c>
      <c r="Y8" s="271"/>
    </row>
    <row r="9" spans="1:25" x14ac:dyDescent="0.2">
      <c r="A9" s="271"/>
      <c r="B9" s="339">
        <v>5</v>
      </c>
      <c r="C9" s="343" t="s">
        <v>225</v>
      </c>
      <c r="D9" s="344">
        <v>14</v>
      </c>
      <c r="E9" s="345" t="s">
        <v>221</v>
      </c>
      <c r="F9" s="332">
        <f ca="1">INDEX(OFFSET('Adjustment scenario'!$D$1:$W$1,$D9-1,0),MATCH(F$4,'Adjustment scenario'!$D$10:$W$10,0))</f>
        <v>0</v>
      </c>
      <c r="G9" s="332">
        <f ca="1">INDEX(OFFSET('Adjustment scenario'!$D$1:$W$1,$D9-1,0),MATCH(G$4,'Adjustment scenario'!$D$10:$W$10,0))</f>
        <v>0</v>
      </c>
      <c r="H9" s="332">
        <f ca="1">INDEX(OFFSET('Adjustment scenario'!$D$1:$W$1,$D9-1,0),MATCH(H$4,'Adjustment scenario'!$D$10:$W$10,0))</f>
        <v>0</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226</v>
      </c>
      <c r="D10" s="344">
        <v>68</v>
      </c>
      <c r="E10" s="345" t="s">
        <v>221</v>
      </c>
      <c r="F10" s="332">
        <f ca="1">INDEX(OFFSET('Adjustment scenario'!$D$1:$W$1,$D10-1,0),MATCH(F$4,'Adjustment scenario'!$D$10:$W$10,0))</f>
        <v>4.7084400584753539</v>
      </c>
      <c r="G10" s="332">
        <f ca="1">INDEX(OFFSET('Adjustment scenario'!$D$1:$W$1,$D10-1,0),MATCH(G$4,'Adjustment scenario'!$D$10:$W$10,0))</f>
        <v>4.9181599323084875</v>
      </c>
      <c r="H10" s="332">
        <f ca="1">INDEX(OFFSET('Adjustment scenario'!$D$1:$W$1,$D10-1,0),MATCH(H$4,'Adjustment scenario'!$D$10:$W$10,0))</f>
        <v>4.1678600033081201</v>
      </c>
      <c r="I10" s="332">
        <f ca="1">INDEX(OFFSET('Adjustment scenario'!$D$1:$W$1,$D10-1,0),MATCH(I$4,'Adjustment scenario'!$D$10:$W$10,0))</f>
        <v>4.2552478337630983</v>
      </c>
      <c r="J10" s="332">
        <f ca="1">INDEX(OFFSET('Adjustment scenario'!$D$1:$W$1,$D10-1,0),MATCH(J$4,'Adjustment scenario'!$D$10:$W$10,0))</f>
        <v>4.2812736612509488</v>
      </c>
      <c r="K10" s="332">
        <f ca="1">INDEX(OFFSET('Adjustment scenario'!$D$1:$W$1,$D10-1,0),MATCH(K$4,'Adjustment scenario'!$D$10:$W$10,0))</f>
        <v>4.2648742213239919</v>
      </c>
      <c r="L10" s="332">
        <f ca="1">INDEX(OFFSET('Adjustment scenario'!$D$1:$W$1,$D10-1,0),MATCH(L$4,'Adjustment scenario'!$D$10:$W$10,0))</f>
        <v>4.1810275806352726</v>
      </c>
      <c r="M10" s="332">
        <f ca="1">INDEX(OFFSET('Adjustment scenario'!$D$1:$W$1,$D10-1,0),MATCH(M$4,'Adjustment scenario'!$D$10:$W$10,0))</f>
        <v>4.0813238172948445</v>
      </c>
      <c r="N10" s="332">
        <f ca="1">INDEX(OFFSET('Adjustment scenario'!$D$1:$W$1,$D10-1,0),MATCH(N$4,'Adjustment scenario'!$D$10:$W$10,0))</f>
        <v>3.970007258627565</v>
      </c>
      <c r="O10" s="332">
        <f ca="1">INDEX(OFFSET('Adjustment scenario'!$D$1:$W$1,$D10-1,0),MATCH(O$4,'Adjustment scenario'!$D$10:$W$10,0))</f>
        <v>3.8697604318885448</v>
      </c>
      <c r="P10" s="332">
        <f ca="1">INDEX(OFFSET('Adjustment scenario'!$D$1:$W$1,$D10-1,0),MATCH(P$4,'Adjustment scenario'!$D$10:$W$10,0))</f>
        <v>3.7732090619683745</v>
      </c>
      <c r="Q10" s="332">
        <f ca="1">INDEX(OFFSET('Adjustment scenario'!$D$1:$W$1,$D10-1,0),MATCH(Q$4,'Adjustment scenario'!$D$10:$W$10,0))</f>
        <v>3.6748007620484948</v>
      </c>
      <c r="R10" s="332">
        <f ca="1">INDEX(OFFSET('Adjustment scenario'!$D$1:$W$1,$D10-1,0),MATCH(R$4,'Adjustment scenario'!$D$10:$W$10,0))</f>
        <v>3.5819556430229387</v>
      </c>
      <c r="S10" s="332">
        <f ca="1">INDEX(OFFSET('Adjustment scenario'!$D$1:$W$1,$D10-1,0),MATCH(S$4,'Adjustment scenario'!$D$10:$W$10,0))</f>
        <v>3.4969700109196316</v>
      </c>
      <c r="T10" s="332">
        <f ca="1">INDEX(OFFSET('Adjustment scenario'!$D$1:$W$1,$D10-1,0),MATCH(T$4,'Adjustment scenario'!$D$10:$W$10,0))</f>
        <v>3.420579852281274</v>
      </c>
      <c r="U10" s="332">
        <f ca="1">INDEX(OFFSET('Adjustment scenario'!$D$1:$W$1,$D10-1,0),MATCH(U$4,'Adjustment scenario'!$D$10:$W$10,0))</f>
        <v>3.3547487017517028</v>
      </c>
      <c r="V10" s="332">
        <f ca="1">INDEX(OFFSET('Adjustment scenario'!$D$1:$W$1,$D10-1,0),MATCH(V$4,'Adjustment scenario'!$D$10:$W$10,0))</f>
        <v>3.2998850364497501</v>
      </c>
      <c r="W10" s="332">
        <f ca="1">INDEX(OFFSET('Adjustment scenario'!$D$1:$W$1,$D10-1,0),MATCH(W$4,'Adjustment scenario'!$D$10:$W$10,0))</f>
        <v>3.2560394170880032</v>
      </c>
      <c r="X10" s="332">
        <f ca="1">INDEX(OFFSET('Adjustment scenario'!$D$1:$W$1,$D10-1,0),MATCH(X$4,'Adjustment scenario'!$D$10:$W$10,0))</f>
        <v>3.2233907573081524</v>
      </c>
      <c r="Y10" s="271"/>
    </row>
    <row r="11" spans="1:25" x14ac:dyDescent="0.2">
      <c r="A11" s="271"/>
      <c r="B11" s="339">
        <v>7</v>
      </c>
      <c r="C11" s="346" t="s">
        <v>94</v>
      </c>
      <c r="D11" s="344">
        <v>37</v>
      </c>
      <c r="E11" s="345" t="s">
        <v>227</v>
      </c>
      <c r="F11" s="332">
        <f ca="1">INDEX(OFFSET('Adjustment scenario'!$D$1:$W$1,$D11-1,0),MATCH(F$4,'Adjustment scenario'!$D$10:$W$10,0))</f>
        <v>7.51</v>
      </c>
      <c r="G11" s="332">
        <f ca="1">INDEX(OFFSET('Adjustment scenario'!$D$1:$W$1,$D11-1,0),MATCH(G$4,'Adjustment scenario'!$D$10:$W$10,0))</f>
        <v>6.852957</v>
      </c>
      <c r="H11" s="332">
        <f ca="1">INDEX(OFFSET('Adjustment scenario'!$D$1:$W$1,$D11-1,0),MATCH(H$4,'Adjustment scenario'!$D$10:$W$10,0))</f>
        <v>7.0544219999999997</v>
      </c>
      <c r="I11" s="332">
        <f ca="1">INDEX(OFFSET('Adjustment scenario'!$D$1:$W$1,$D11-1,0),MATCH(I$4,'Adjustment scenario'!$D$10:$W$10,0))</f>
        <v>6.9882267499999999</v>
      </c>
      <c r="J11" s="332">
        <f ca="1">INDEX(OFFSET('Adjustment scenario'!$D$1:$W$1,$D11-1,0),MATCH(J$4,'Adjustment scenario'!$D$10:$W$10,0))</f>
        <v>6.9220315000000001</v>
      </c>
      <c r="K11" s="332">
        <f ca="1">INDEX(OFFSET('Adjustment scenario'!$D$1:$W$1,$D11-1,0),MATCH(K$4,'Adjustment scenario'!$D$10:$W$10,0))</f>
        <v>6.8558362500000003</v>
      </c>
      <c r="L11" s="332">
        <f ca="1">INDEX(OFFSET('Adjustment scenario'!$D$1:$W$1,$D11-1,0),MATCH(L$4,'Adjustment scenario'!$D$10:$W$10,0))</f>
        <v>6.7896410000000005</v>
      </c>
      <c r="M11" s="332">
        <f ca="1">INDEX(OFFSET('Adjustment scenario'!$D$1:$W$1,$D11-1,0),MATCH(M$4,'Adjustment scenario'!$D$10:$W$10,0))</f>
        <v>6.7234457500000007</v>
      </c>
      <c r="N11" s="332">
        <f ca="1">INDEX(OFFSET('Adjustment scenario'!$D$1:$W$1,$D11-1,0),MATCH(N$4,'Adjustment scenario'!$D$10:$W$10,0))</f>
        <v>6.6572505000000008</v>
      </c>
      <c r="O11" s="332">
        <f ca="1">INDEX(OFFSET('Adjustment scenario'!$D$1:$W$1,$D11-1,0),MATCH(O$4,'Adjustment scenario'!$D$10:$W$10,0))</f>
        <v>6.591055250000001</v>
      </c>
      <c r="P11" s="332">
        <f ca="1">INDEX(OFFSET('Adjustment scenario'!$D$1:$W$1,$D11-1,0),MATCH(P$4,'Adjustment scenario'!$D$10:$W$10,0))</f>
        <v>6.5248600000000003</v>
      </c>
      <c r="Q11" s="332">
        <f ca="1">INDEX(OFFSET('Adjustment scenario'!$D$1:$W$1,$D11-1,0),MATCH(Q$4,'Adjustment scenario'!$D$10:$W$10,0))</f>
        <v>6.4486170000000005</v>
      </c>
      <c r="R11" s="332">
        <f ca="1">INDEX(OFFSET('Adjustment scenario'!$D$1:$W$1,$D11-1,0),MATCH(R$4,'Adjustment scenario'!$D$10:$W$10,0))</f>
        <v>6.3723740000000006</v>
      </c>
      <c r="S11" s="332">
        <f ca="1">INDEX(OFFSET('Adjustment scenario'!$D$1:$W$1,$D11-1,0),MATCH(S$4,'Adjustment scenario'!$D$10:$W$10,0))</f>
        <v>6.2961309999999999</v>
      </c>
      <c r="T11" s="332">
        <f ca="1">INDEX(OFFSET('Adjustment scenario'!$D$1:$W$1,$D11-1,0),MATCH(T$4,'Adjustment scenario'!$D$10:$W$10,0))</f>
        <v>6.2198880000000001</v>
      </c>
      <c r="U11" s="332">
        <f ca="1">INDEX(OFFSET('Adjustment scenario'!$D$1:$W$1,$D11-1,0),MATCH(U$4,'Adjustment scenario'!$D$10:$W$10,0))</f>
        <v>6.1436450000000002</v>
      </c>
      <c r="V11" s="332">
        <f ca="1">INDEX(OFFSET('Adjustment scenario'!$D$1:$W$1,$D11-1,0),MATCH(V$4,'Adjustment scenario'!$D$10:$W$10,0))</f>
        <v>6.0674020000000004</v>
      </c>
      <c r="W11" s="332">
        <f ca="1">INDEX(OFFSET('Adjustment scenario'!$D$1:$W$1,$D11-1,0),MATCH(W$4,'Adjustment scenario'!$D$10:$W$10,0))</f>
        <v>5.9911590000000006</v>
      </c>
      <c r="X11" s="332">
        <f ca="1">INDEX(OFFSET('Adjustment scenario'!$D$1:$W$1,$D11-1,0),MATCH(X$4,'Adjustment scenario'!$D$10:$W$10,0))</f>
        <v>5.9149159999999998</v>
      </c>
      <c r="Y11" s="271"/>
    </row>
    <row r="12" spans="1:25" x14ac:dyDescent="0.2">
      <c r="A12" s="271"/>
      <c r="B12" s="339">
        <v>8</v>
      </c>
      <c r="C12" s="346" t="s">
        <v>95</v>
      </c>
      <c r="D12" s="344">
        <v>38</v>
      </c>
      <c r="E12" s="345" t="s">
        <v>227</v>
      </c>
      <c r="F12" s="332">
        <f ca="1">INDEX(OFFSET('Adjustment scenario'!$D$1:$W$1,$D12-1,0),MATCH(F$4,'Adjustment scenario'!$D$10:$W$10,0))</f>
        <v>15.97</v>
      </c>
      <c r="G12" s="332">
        <f ca="1">INDEX(OFFSET('Adjustment scenario'!$D$1:$W$1,$D12-1,0),MATCH(G$4,'Adjustment scenario'!$D$10:$W$10,0))</f>
        <v>7.4377000000000004</v>
      </c>
      <c r="H12" s="332">
        <f ca="1">INDEX(OFFSET('Adjustment scenario'!$D$1:$W$1,$D12-1,0),MATCH(H$4,'Adjustment scenario'!$D$10:$W$10,0))</f>
        <v>6.4500719999999996</v>
      </c>
      <c r="I12" s="332">
        <f ca="1">INDEX(OFFSET('Adjustment scenario'!$D$1:$W$1,$D12-1,0),MATCH(I$4,'Adjustment scenario'!$D$10:$W$10,0))</f>
        <v>6.4235542499999996</v>
      </c>
      <c r="J12" s="332">
        <f ca="1">INDEX(OFFSET('Adjustment scenario'!$D$1:$W$1,$D12-1,0),MATCH(J$4,'Adjustment scenario'!$D$10:$W$10,0))</f>
        <v>6.3970364999999996</v>
      </c>
      <c r="K12" s="332">
        <f ca="1">INDEX(OFFSET('Adjustment scenario'!$D$1:$W$1,$D12-1,0),MATCH(K$4,'Adjustment scenario'!$D$10:$W$10,0))</f>
        <v>6.3705187499999996</v>
      </c>
      <c r="L12" s="332">
        <f ca="1">INDEX(OFFSET('Adjustment scenario'!$D$1:$W$1,$D12-1,0),MATCH(L$4,'Adjustment scenario'!$D$10:$W$10,0))</f>
        <v>6.3440009999999996</v>
      </c>
      <c r="M12" s="332">
        <f ca="1">INDEX(OFFSET('Adjustment scenario'!$D$1:$W$1,$D12-1,0),MATCH(M$4,'Adjustment scenario'!$D$10:$W$10,0))</f>
        <v>6.3174832499999996</v>
      </c>
      <c r="N12" s="332">
        <f ca="1">INDEX(OFFSET('Adjustment scenario'!$D$1:$W$1,$D12-1,0),MATCH(N$4,'Adjustment scenario'!$D$10:$W$10,0))</f>
        <v>6.2909654999999995</v>
      </c>
      <c r="O12" s="332">
        <f ca="1">INDEX(OFFSET('Adjustment scenario'!$D$1:$W$1,$D12-1,0),MATCH(O$4,'Adjustment scenario'!$D$10:$W$10,0))</f>
        <v>6.2644477499999995</v>
      </c>
      <c r="P12" s="332">
        <f ca="1">INDEX(OFFSET('Adjustment scenario'!$D$1:$W$1,$D12-1,0),MATCH(P$4,'Adjustment scenario'!$D$10:$W$10,0))</f>
        <v>6.2379300000000004</v>
      </c>
      <c r="Q12" s="332">
        <f ca="1">INDEX(OFFSET('Adjustment scenario'!$D$1:$W$1,$D12-1,0),MATCH(Q$4,'Adjustment scenario'!$D$10:$W$10,0))</f>
        <v>6.0510335000000008</v>
      </c>
      <c r="R12" s="332">
        <f ca="1">INDEX(OFFSET('Adjustment scenario'!$D$1:$W$1,$D12-1,0),MATCH(R$4,'Adjustment scenario'!$D$10:$W$10,0))</f>
        <v>5.8641370000000004</v>
      </c>
      <c r="S12" s="332">
        <f ca="1">INDEX(OFFSET('Adjustment scenario'!$D$1:$W$1,$D12-1,0),MATCH(S$4,'Adjustment scenario'!$D$10:$W$10,0))</f>
        <v>5.6772404999999999</v>
      </c>
      <c r="T12" s="332">
        <f ca="1">INDEX(OFFSET('Adjustment scenario'!$D$1:$W$1,$D12-1,0),MATCH(T$4,'Adjustment scenario'!$D$10:$W$10,0))</f>
        <v>5.4903440000000003</v>
      </c>
      <c r="U12" s="332">
        <f ca="1">INDEX(OFFSET('Adjustment scenario'!$D$1:$W$1,$D12-1,0),MATCH(U$4,'Adjustment scenario'!$D$10:$W$10,0))</f>
        <v>5.3034475000000008</v>
      </c>
      <c r="V12" s="332">
        <f ca="1">INDEX(OFFSET('Adjustment scenario'!$D$1:$W$1,$D12-1,0),MATCH(V$4,'Adjustment scenario'!$D$10:$W$10,0))</f>
        <v>5.1165510000000003</v>
      </c>
      <c r="W12" s="332">
        <f ca="1">INDEX(OFFSET('Adjustment scenario'!$D$1:$W$1,$D12-1,0),MATCH(W$4,'Adjustment scenario'!$D$10:$W$10,0))</f>
        <v>4.9296544999999998</v>
      </c>
      <c r="X12" s="332">
        <f ca="1">INDEX(OFFSET('Adjustment scenario'!$D$1:$W$1,$D12-1,0),MATCH(X$4,'Adjustment scenario'!$D$10:$W$10,0))</f>
        <v>4.7427580000000003</v>
      </c>
      <c r="Y12" s="271"/>
    </row>
    <row r="13" spans="1:25" x14ac:dyDescent="0.2">
      <c r="A13" s="271"/>
      <c r="B13" s="339">
        <v>9</v>
      </c>
      <c r="C13" s="343" t="s">
        <v>228</v>
      </c>
      <c r="D13" s="344">
        <v>36</v>
      </c>
      <c r="E13" s="345" t="s">
        <v>227</v>
      </c>
      <c r="F13" s="332">
        <f ca="1">INDEX(OFFSET('Adjustment scenario'!$D$1:$W$1,$D13-1,0),MATCH(F$4,'Adjustment scenario'!$D$10:$W$10,0))</f>
        <v>7.2293640000000003</v>
      </c>
      <c r="G13" s="332">
        <f ca="1">INDEX(OFFSET('Adjustment scenario'!$D$1:$W$1,$D13-1,0),MATCH(G$4,'Adjustment scenario'!$D$10:$W$10,0))</f>
        <v>7.2143069999999998</v>
      </c>
      <c r="H13" s="332">
        <f ca="1">INDEX(OFFSET('Adjustment scenario'!$D$1:$W$1,$D13-1,0),MATCH(H$4,'Adjustment scenario'!$D$10:$W$10,0))</f>
        <v>5.985741</v>
      </c>
      <c r="I13" s="332">
        <f ca="1">INDEX(OFFSET('Adjustment scenario'!$D$1:$W$1,$D13-1,0),MATCH(I$4,'Adjustment scenario'!$D$10:$W$10,0))</f>
        <v>6.1006442626004187</v>
      </c>
      <c r="J13" s="332">
        <f ca="1">INDEX(OFFSET('Adjustment scenario'!$D$1:$W$1,$D13-1,0),MATCH(J$4,'Adjustment scenario'!$D$10:$W$10,0))</f>
        <v>6.1883468017334327</v>
      </c>
      <c r="K13" s="332">
        <f ca="1">INDEX(OFFSET('Adjustment scenario'!$D$1:$W$1,$D13-1,0),MATCH(K$4,'Adjustment scenario'!$D$10:$W$10,0))</f>
        <v>6.2553067442008849</v>
      </c>
      <c r="L13" s="332">
        <f ca="1">INDEX(OFFSET('Adjustment scenario'!$D$1:$W$1,$D13-1,0),MATCH(L$4,'Adjustment scenario'!$D$10:$W$10,0))</f>
        <v>6.3049549272222096</v>
      </c>
      <c r="M13" s="332">
        <f ca="1">INDEX(OFFSET('Adjustment scenario'!$D$1:$W$1,$D13-1,0),MATCH(M$4,'Adjustment scenario'!$D$10:$W$10,0))</f>
        <v>6.3425560164202812</v>
      </c>
      <c r="N13" s="332">
        <f ca="1">INDEX(OFFSET('Adjustment scenario'!$D$1:$W$1,$D13-1,0),MATCH(N$4,'Adjustment scenario'!$D$10:$W$10,0))</f>
        <v>6.3696613556191437</v>
      </c>
      <c r="O13" s="332">
        <f ca="1">INDEX(OFFSET('Adjustment scenario'!$D$1:$W$1,$D13-1,0),MATCH(O$4,'Adjustment scenario'!$D$10:$W$10,0))</f>
        <v>6.3876199729912395</v>
      </c>
      <c r="P13" s="332">
        <f ca="1">INDEX(OFFSET('Adjustment scenario'!$D$1:$W$1,$D13-1,0),MATCH(P$4,'Adjustment scenario'!$D$10:$W$10,0))</f>
        <v>6.3979038366394372</v>
      </c>
      <c r="Q13" s="332">
        <f ca="1">INDEX(OFFSET('Adjustment scenario'!$D$1:$W$1,$D13-1,0),MATCH(Q$4,'Adjustment scenario'!$D$10:$W$10,0))</f>
        <v>6.390278985841106</v>
      </c>
      <c r="R13" s="332">
        <f ca="1">INDEX(OFFSET('Adjustment scenario'!$D$1:$W$1,$D13-1,0),MATCH(R$4,'Adjustment scenario'!$D$10:$W$10,0))</f>
        <v>6.3750030271510161</v>
      </c>
      <c r="S13" s="332">
        <f ca="1">INDEX(OFFSET('Adjustment scenario'!$D$1:$W$1,$D13-1,0),MATCH(S$4,'Adjustment scenario'!$D$10:$W$10,0))</f>
        <v>6.3525864496956164</v>
      </c>
      <c r="T13" s="332">
        <f ca="1">INDEX(OFFSET('Adjustment scenario'!$D$1:$W$1,$D13-1,0),MATCH(T$4,'Adjustment scenario'!$D$10:$W$10,0))</f>
        <v>6.3234206340670367</v>
      </c>
      <c r="U13" s="332">
        <f ca="1">INDEX(OFFSET('Adjustment scenario'!$D$1:$W$1,$D13-1,0),MATCH(U$4,'Adjustment scenario'!$D$10:$W$10,0))</f>
        <v>6.287884200570252</v>
      </c>
      <c r="V13" s="332">
        <f ca="1">INDEX(OFFSET('Adjustment scenario'!$D$1:$W$1,$D13-1,0),MATCH(V$4,'Adjustment scenario'!$D$10:$W$10,0))</f>
        <v>6.2463352685627429</v>
      </c>
      <c r="W13" s="332">
        <f ca="1">INDEX(OFFSET('Adjustment scenario'!$D$1:$W$1,$D13-1,0),MATCH(W$4,'Adjustment scenario'!$D$10:$W$10,0))</f>
        <v>6.199090271244744</v>
      </c>
      <c r="X13" s="332">
        <f ca="1">INDEX(OFFSET('Adjustment scenario'!$D$1:$W$1,$D13-1,0),MATCH(X$4,'Adjustment scenario'!$D$10:$W$10,0))</f>
        <v>6.146456615898666</v>
      </c>
      <c r="Y13" s="271"/>
    </row>
    <row r="14" spans="1:25" x14ac:dyDescent="0.2">
      <c r="A14" s="271"/>
      <c r="B14" s="339">
        <v>10</v>
      </c>
      <c r="C14" s="343" t="s">
        <v>229</v>
      </c>
      <c r="D14" s="344">
        <v>72</v>
      </c>
      <c r="E14" s="345" t="s">
        <v>221</v>
      </c>
      <c r="F14" s="332">
        <f ca="1">INDEX(OFFSET('Adjustment scenario'!$D$1:$W$1,$D14-1,0),MATCH(F$4,'Adjustment scenario'!$D$10:$W$10,0))</f>
        <v>1.75285</v>
      </c>
      <c r="G14" s="332">
        <f ca="1">INDEX(OFFSET('Adjustment scenario'!$D$1:$W$1,$D14-1,0),MATCH(G$4,'Adjustment scenario'!$D$10:$W$10,0))</f>
        <v>0.62550260000000002</v>
      </c>
      <c r="H14" s="332">
        <f ca="1">INDEX(OFFSET('Adjustment scenario'!$D$1:$W$1,$D14-1,0),MATCH(H$4,'Adjustment scenario'!$D$10:$W$10,0))</f>
        <v>0.3284956</v>
      </c>
      <c r="I14" s="332">
        <f ca="1">INDEX(OFFSET('Adjustment scenario'!$D$1:$W$1,$D14-1,0),MATCH(I$4,'Adjustment scenario'!$D$10:$W$10,0))</f>
        <v>0</v>
      </c>
      <c r="J14" s="332">
        <f ca="1">INDEX(OFFSET('Adjustment scenario'!$D$1:$W$1,$D14-1,0),MATCH(J$4,'Adjustment scenario'!$D$10:$W$10,0))</f>
        <v>0</v>
      </c>
      <c r="K14" s="332">
        <f ca="1">INDEX(OFFSET('Adjustment scenario'!$D$1:$W$1,$D14-1,0),MATCH(K$4,'Adjustment scenario'!$D$10:$W$10,0))</f>
        <v>0</v>
      </c>
      <c r="L14" s="332">
        <f ca="1">INDEX(OFFSET('Adjustment scenario'!$D$1:$W$1,$D14-1,0),MATCH(L$4,'Adjustment scenario'!$D$10:$W$10,0))</f>
        <v>0</v>
      </c>
      <c r="M14" s="332">
        <f ca="1">INDEX(OFFSET('Adjustment scenario'!$D$1:$W$1,$D14-1,0),MATCH(M$4,'Adjustment scenario'!$D$10:$W$10,0))</f>
        <v>0</v>
      </c>
      <c r="N14" s="332">
        <f ca="1">INDEX(OFFSET('Adjustment scenario'!$D$1:$W$1,$D14-1,0),MATCH(N$4,'Adjustment scenario'!$D$10:$W$10,0))</f>
        <v>0</v>
      </c>
      <c r="O14" s="332">
        <f ca="1">INDEX(OFFSET('Adjustment scenario'!$D$1:$W$1,$D14-1,0),MATCH(O$4,'Adjustment scenario'!$D$10:$W$10,0))</f>
        <v>0</v>
      </c>
      <c r="P14" s="332">
        <f ca="1">INDEX(OFFSET('Adjustment scenario'!$D$1:$W$1,$D14-1,0),MATCH(P$4,'Adjustment scenario'!$D$10:$W$10,0))</f>
        <v>0</v>
      </c>
      <c r="Q14" s="332">
        <f ca="1">INDEX(OFFSET('Adjustment scenario'!$D$1:$W$1,$D14-1,0),MATCH(Q$4,'Adjustment scenario'!$D$10:$W$10,0))</f>
        <v>0</v>
      </c>
      <c r="R14" s="332">
        <f ca="1">INDEX(OFFSET('Adjustment scenario'!$D$1:$W$1,$D14-1,0),MATCH(R$4,'Adjustment scenario'!$D$10:$W$10,0))</f>
        <v>0</v>
      </c>
      <c r="S14" s="332">
        <f ca="1">INDEX(OFFSET('Adjustment scenario'!$D$1:$W$1,$D14-1,0),MATCH(S$4,'Adjustment scenario'!$D$10:$W$10,0))</f>
        <v>0</v>
      </c>
      <c r="T14" s="332">
        <f ca="1">INDEX(OFFSET('Adjustment scenario'!$D$1:$W$1,$D14-1,0),MATCH(T$4,'Adjustment scenario'!$D$10:$W$10,0))</f>
        <v>0</v>
      </c>
      <c r="U14" s="332">
        <f ca="1">INDEX(OFFSET('Adjustment scenario'!$D$1:$W$1,$D14-1,0),MATCH(U$4,'Adjustment scenario'!$D$10:$W$10,0))</f>
        <v>0</v>
      </c>
      <c r="V14" s="332">
        <f ca="1">INDEX(OFFSET('Adjustment scenario'!$D$1:$W$1,$D14-1,0),MATCH(V$4,'Adjustment scenario'!$D$10:$W$10,0))</f>
        <v>0</v>
      </c>
      <c r="W14" s="332">
        <f ca="1">INDEX(OFFSET('Adjustment scenario'!$D$1:$W$1,$D14-1,0),MATCH(W$4,'Adjustment scenario'!$D$10:$W$10,0))</f>
        <v>0</v>
      </c>
      <c r="X14" s="332">
        <f ca="1">INDEX(OFFSET('Adjustment scenario'!$D$1:$W$1,$D14-1,0),MATCH(X$4,'Adjustment scenario'!$D$10:$W$10,0))</f>
        <v>0</v>
      </c>
      <c r="Y14" s="271"/>
    </row>
    <row r="15" spans="1:25" x14ac:dyDescent="0.2">
      <c r="A15" s="271"/>
      <c r="B15" s="339">
        <v>11</v>
      </c>
      <c r="C15" s="347" t="s">
        <v>62</v>
      </c>
      <c r="D15" s="344">
        <v>27</v>
      </c>
      <c r="E15" s="345" t="s">
        <v>230</v>
      </c>
      <c r="F15" s="332">
        <f ca="1">(INDEX(OFFSET('Adjustment scenario'!$D$1:$W$1,$D15-1,0),MATCH(F$4,'Adjustment scenario'!$D$10:$W$10,0))/INDEX(OFFSET('Adjustment scenario'!$D$1:$W$1,$D15-1,0),MATCH(E$4,'Adjustment scenario'!$D$10:$W$10,0))-1)*100</f>
        <v>2.1468510000000052</v>
      </c>
      <c r="G15" s="332">
        <f ca="1">(INDEX(OFFSET('Adjustment scenario'!$D$1:$W$1,$D15-1,0),MATCH(G$4,'Adjustment scenario'!$D$10:$W$10,0))/INDEX(OFFSET('Adjustment scenario'!$D$1:$W$1,$D15-1,0),MATCH(F$4,'Adjustment scenario'!$D$10:$W$10,0))-1)*100</f>
        <v>2.2002089999999974</v>
      </c>
      <c r="H15" s="332">
        <f ca="1">(INDEX(OFFSET('Adjustment scenario'!$D$1:$W$1,$D15-1,0),MATCH(H$4,'Adjustment scenario'!$D$10:$W$10,0))/INDEX(OFFSET('Adjustment scenario'!$D$1:$W$1,$D15-1,0),MATCH(G$4,'Adjustment scenario'!$D$10:$W$10,0))-1)*100</f>
        <v>2.4702640000000109</v>
      </c>
      <c r="I15" s="332">
        <f ca="1">(INDEX(OFFSET('Adjustment scenario'!$D$1:$W$1,$D15-1,0),MATCH(I$4,'Adjustment scenario'!$D$10:$W$10,0))/INDEX(OFFSET('Adjustment scenario'!$D$1:$W$1,$D15-1,0),MATCH(H$4,'Adjustment scenario'!$D$10:$W$10,0))-1)*100</f>
        <v>2.2591220000000023</v>
      </c>
      <c r="J15" s="332">
        <f ca="1">(INDEX(OFFSET('Adjustment scenario'!$D$1:$W$1,$D15-1,0),MATCH(J$4,'Adjustment scenario'!$D$10:$W$10,0))/INDEX(OFFSET('Adjustment scenario'!$D$1:$W$1,$D15-1,0),MATCH(I$4,'Adjustment scenario'!$D$10:$W$10,0))-1)*100</f>
        <v>2.121382000000005</v>
      </c>
      <c r="K15" s="332">
        <f ca="1">(INDEX(OFFSET('Adjustment scenario'!$D$1:$W$1,$D15-1,0),MATCH(K$4,'Adjustment scenario'!$D$10:$W$10,0))/INDEX(OFFSET('Adjustment scenario'!$D$1:$W$1,$D15-1,0),MATCH(J$4,'Adjustment scenario'!$D$10:$W$10,0))-1)*100</f>
        <v>2.0276299999999914</v>
      </c>
      <c r="L15" s="332">
        <f ca="1">(INDEX(OFFSET('Adjustment scenario'!$D$1:$W$1,$D15-1,0),MATCH(L$4,'Adjustment scenario'!$D$10:$W$10,0))/INDEX(OFFSET('Adjustment scenario'!$D$1:$W$1,$D15-1,0),MATCH(K$4,'Adjustment scenario'!$D$10:$W$10,0))-1)*100</f>
        <v>2.0547010000000032</v>
      </c>
      <c r="M15" s="332">
        <f ca="1">(INDEX(OFFSET('Adjustment scenario'!$D$1:$W$1,$D15-1,0),MATCH(M$4,'Adjustment scenario'!$D$10:$W$10,0))/INDEX(OFFSET('Adjustment scenario'!$D$1:$W$1,$D15-1,0),MATCH(L$4,'Adjustment scenario'!$D$10:$W$10,0))-1)*100</f>
        <v>2.0597369999999948</v>
      </c>
      <c r="N15" s="332">
        <f ca="1">(INDEX(OFFSET('Adjustment scenario'!$D$1:$W$1,$D15-1,0),MATCH(N$4,'Adjustment scenario'!$D$10:$W$10,0))/INDEX(OFFSET('Adjustment scenario'!$D$1:$W$1,$D15-1,0),MATCH(M$4,'Adjustment scenario'!$D$10:$W$10,0))-1)*100</f>
        <v>2.0237870000000102</v>
      </c>
      <c r="O15" s="332">
        <f ca="1">(INDEX(OFFSET('Adjustment scenario'!$D$1:$W$1,$D15-1,0),MATCH(O$4,'Adjustment scenario'!$D$10:$W$10,0))/INDEX(OFFSET('Adjustment scenario'!$D$1:$W$1,$D15-1,0),MATCH(N$4,'Adjustment scenario'!$D$10:$W$10,0))-1)*100</f>
        <v>1.8975259999999938</v>
      </c>
      <c r="P15" s="332">
        <f ca="1">(INDEX(OFFSET('Adjustment scenario'!$D$1:$W$1,$D15-1,0),MATCH(P$4,'Adjustment scenario'!$D$10:$W$10,0))/INDEX(OFFSET('Adjustment scenario'!$D$1:$W$1,$D15-1,0),MATCH(O$4,'Adjustment scenario'!$D$10:$W$10,0))-1)*100</f>
        <v>1.8826849999999951</v>
      </c>
      <c r="Q15" s="332">
        <f ca="1">(INDEX(OFFSET('Adjustment scenario'!$D$1:$W$1,$D15-1,0),MATCH(Q$4,'Adjustment scenario'!$D$10:$W$10,0))/INDEX(OFFSET('Adjustment scenario'!$D$1:$W$1,$D15-1,0),MATCH(P$4,'Adjustment scenario'!$D$10:$W$10,0))-1)*100</f>
        <v>1.8447129999999978</v>
      </c>
      <c r="R15" s="332">
        <f ca="1">(INDEX(OFFSET('Adjustment scenario'!$D$1:$W$1,$D15-1,0),MATCH(R$4,'Adjustment scenario'!$D$10:$W$10,0))/INDEX(OFFSET('Adjustment scenario'!$D$1:$W$1,$D15-1,0),MATCH(Q$4,'Adjustment scenario'!$D$10:$W$10,0))-1)*100</f>
        <v>1.8067410000000006</v>
      </c>
      <c r="S15" s="332">
        <f ca="1">(INDEX(OFFSET('Adjustment scenario'!$D$1:$W$1,$D15-1,0),MATCH(S$4,'Adjustment scenario'!$D$10:$W$10,0))/INDEX(OFFSET('Adjustment scenario'!$D$1:$W$1,$D15-1,0),MATCH(R$4,'Adjustment scenario'!$D$10:$W$10,0))-1)*100</f>
        <v>1.7687690000000034</v>
      </c>
      <c r="T15" s="332">
        <f ca="1">(INDEX(OFFSET('Adjustment scenario'!$D$1:$W$1,$D15-1,0),MATCH(T$4,'Adjustment scenario'!$D$10:$W$10,0))/INDEX(OFFSET('Adjustment scenario'!$D$1:$W$1,$D15-1,0),MATCH(S$4,'Adjustment scenario'!$D$10:$W$10,0))-1)*100</f>
        <v>1.7610860000000006</v>
      </c>
      <c r="U15" s="332">
        <f ca="1">(INDEX(OFFSET('Adjustment scenario'!$D$1:$W$1,$D15-1,0),MATCH(U$4,'Adjustment scenario'!$D$10:$W$10,0))/INDEX(OFFSET('Adjustment scenario'!$D$1:$W$1,$D15-1,0),MATCH(T$4,'Adjustment scenario'!$D$10:$W$10,0))-1)*100</f>
        <v>1.7076499999999939</v>
      </c>
      <c r="V15" s="332">
        <f ca="1">(INDEX(OFFSET('Adjustment scenario'!$D$1:$W$1,$D15-1,0),MATCH(V$4,'Adjustment scenario'!$D$10:$W$10,0))/INDEX(OFFSET('Adjustment scenario'!$D$1:$W$1,$D15-1,0),MATCH(U$4,'Adjustment scenario'!$D$10:$W$10,0))-1)*100</f>
        <v>1.6529669999999941</v>
      </c>
      <c r="W15" s="332">
        <f ca="1">(INDEX(OFFSET('Adjustment scenario'!$D$1:$W$1,$D15-1,0),MATCH(W$4,'Adjustment scenario'!$D$10:$W$10,0))/INDEX(OFFSET('Adjustment scenario'!$D$1:$W$1,$D15-1,0),MATCH(V$4,'Adjustment scenario'!$D$10:$W$10,0))-1)*100</f>
        <v>1.6187560000000101</v>
      </c>
      <c r="X15" s="332">
        <f ca="1">(INDEX(OFFSET('Adjustment scenario'!$D$1:$W$1,$D15-1,0),MATCH(X$4,'Adjustment scenario'!$D$10:$W$10,0))/INDEX(OFFSET('Adjustment scenario'!$D$1:$W$1,$D15-1,0),MATCH(W$4,'Adjustment scenario'!$D$10:$W$10,0))-1)*100</f>
        <v>1.6011320000000051</v>
      </c>
      <c r="Y15" s="271"/>
    </row>
    <row r="16" spans="1:25" x14ac:dyDescent="0.2">
      <c r="A16" s="271"/>
      <c r="B16" s="339">
        <v>12</v>
      </c>
      <c r="C16" s="335" t="s">
        <v>231</v>
      </c>
      <c r="D16" s="344">
        <v>24</v>
      </c>
      <c r="E16" s="345" t="s">
        <v>230</v>
      </c>
      <c r="F16" s="332">
        <f ca="1">INDEX(OFFSET('Adjustment scenario'!$D$1:$W$1,$D16-1,0),MATCH(F$4,'Adjustment scenario'!$D$10:$W$10,0))</f>
        <v>-0.90768590000000005</v>
      </c>
      <c r="G16" s="332">
        <f ca="1">INDEX(OFFSET('Adjustment scenario'!$D$1:$W$1,$D16-1,0),MATCH(G$4,'Adjustment scenario'!$D$10:$W$10,0))</f>
        <v>2.4166650000000001</v>
      </c>
      <c r="H16" s="332">
        <f ca="1">INDEX(OFFSET('Adjustment scenario'!$D$1:$W$1,$D16-1,0),MATCH(H$4,'Adjustment scenario'!$D$10:$W$10,0))</f>
        <v>2.7841180000000021</v>
      </c>
      <c r="I16" s="332">
        <f ca="1">INDEX(OFFSET('Adjustment scenario'!$D$1:$W$1,$D16-1,0),MATCH(I$4,'Adjustment scenario'!$D$10:$W$10,0))</f>
        <v>2.0792775364796734</v>
      </c>
      <c r="J16" s="332">
        <f ca="1">INDEX(OFFSET('Adjustment scenario'!$D$1:$W$1,$D16-1,0),MATCH(J$4,'Adjustment scenario'!$D$10:$W$10,0))</f>
        <v>2.0016404093588402</v>
      </c>
      <c r="K16" s="332">
        <f ca="1">INDEX(OFFSET('Adjustment scenario'!$D$1:$W$1,$D16-1,0),MATCH(K$4,'Adjustment scenario'!$D$10:$W$10,0))</f>
        <v>1.9479080570616647</v>
      </c>
      <c r="L16" s="332">
        <f ca="1">INDEX(OFFSET('Adjustment scenario'!$D$1:$W$1,$D16-1,0),MATCH(L$4,'Adjustment scenario'!$D$10:$W$10,0))</f>
        <v>2.4970158889263017</v>
      </c>
      <c r="M16" s="332">
        <f ca="1">INDEX(OFFSET('Adjustment scenario'!$D$1:$W$1,$D16-1,0),MATCH(M$4,'Adjustment scenario'!$D$10:$W$10,0))</f>
        <v>2.5001648587380521</v>
      </c>
      <c r="N16" s="332">
        <f ca="1">INDEX(OFFSET('Adjustment scenario'!$D$1:$W$1,$D16-1,0),MATCH(N$4,'Adjustment scenario'!$D$10:$W$10,0))</f>
        <v>2.4621679344178693</v>
      </c>
      <c r="O16" s="332">
        <f ca="1">INDEX(OFFSET('Adjustment scenario'!$D$1:$W$1,$D16-1,0),MATCH(O$4,'Adjustment scenario'!$D$10:$W$10,0))</f>
        <v>1.89752700000001</v>
      </c>
      <c r="P16" s="332">
        <f ca="1">INDEX(OFFSET('Adjustment scenario'!$D$1:$W$1,$D16-1,0),MATCH(P$4,'Adjustment scenario'!$D$10:$W$10,0))</f>
        <v>1.882687999999999</v>
      </c>
      <c r="Q16" s="332">
        <f ca="1">INDEX(OFFSET('Adjustment scenario'!$D$1:$W$1,$D16-1,0),MATCH(Q$4,'Adjustment scenario'!$D$10:$W$10,0))</f>
        <v>1.8447150000000079</v>
      </c>
      <c r="R16" s="332">
        <f ca="1">INDEX(OFFSET('Adjustment scenario'!$D$1:$W$1,$D16-1,0),MATCH(R$4,'Adjustment scenario'!$D$10:$W$10,0))</f>
        <v>1.8067389999999905</v>
      </c>
      <c r="S16" s="332">
        <f ca="1">INDEX(OFFSET('Adjustment scenario'!$D$1:$W$1,$D16-1,0),MATCH(S$4,'Adjustment scenario'!$D$10:$W$10,0))</f>
        <v>1.7687699999999973</v>
      </c>
      <c r="T16" s="332">
        <f ca="1">INDEX(OFFSET('Adjustment scenario'!$D$1:$W$1,$D16-1,0),MATCH(T$4,'Adjustment scenario'!$D$10:$W$10,0))</f>
        <v>1.7610829999999966</v>
      </c>
      <c r="U16" s="332">
        <f ca="1">INDEX(OFFSET('Adjustment scenario'!$D$1:$W$1,$D16-1,0),MATCH(U$4,'Adjustment scenario'!$D$10:$W$10,0))</f>
        <v>1.7076499999999939</v>
      </c>
      <c r="V16" s="332">
        <f ca="1">INDEX(OFFSET('Adjustment scenario'!$D$1:$W$1,$D16-1,0),MATCH(V$4,'Adjustment scenario'!$D$10:$W$10,0))</f>
        <v>1.6529680000000102</v>
      </c>
      <c r="W16" s="332">
        <f ca="1">INDEX(OFFSET('Adjustment scenario'!$D$1:$W$1,$D16-1,0),MATCH(W$4,'Adjustment scenario'!$D$10:$W$10,0))</f>
        <v>1.6187589999999918</v>
      </c>
      <c r="X16" s="332">
        <f ca="1">INDEX(OFFSET('Adjustment scenario'!$D$1:$W$1,$D16-1,0),MATCH(X$4,'Adjustment scenario'!$D$10:$W$10,0))</f>
        <v>1.601132999999999</v>
      </c>
      <c r="Y16" s="271"/>
    </row>
    <row r="17" spans="1:25" x14ac:dyDescent="0.2">
      <c r="A17" s="271"/>
      <c r="B17" s="339">
        <v>13</v>
      </c>
      <c r="C17" s="348" t="s">
        <v>232</v>
      </c>
      <c r="D17" s="344">
        <v>42</v>
      </c>
      <c r="E17" s="345" t="s">
        <v>230</v>
      </c>
      <c r="F17" s="332">
        <f ca="1">INDEX(OFFSET('Adjustment scenario'!$D$1:$W$1,$D17-1,0),MATCH(F$4,'Adjustment scenario'!$D$10:$W$10,0))</f>
        <v>14.74901</v>
      </c>
      <c r="G17" s="332">
        <f ca="1">INDEX(OFFSET('Adjustment scenario'!$D$1:$W$1,$D17-1,0),MATCH(G$4,'Adjustment scenario'!$D$10:$W$10,0))</f>
        <v>5.300141</v>
      </c>
      <c r="H17" s="332">
        <f ca="1">INDEX(OFFSET('Adjustment scenario'!$D$1:$W$1,$D17-1,0),MATCH(H$4,'Adjustment scenario'!$D$10:$W$10,0))</f>
        <v>3.7999740000000002</v>
      </c>
      <c r="I17" s="332">
        <f ca="1">INDEX(OFFSET('Adjustment scenario'!$D$1:$W$1,$D17-1,0),MATCH(I$4,'Adjustment scenario'!$D$10:$W$10,0))</f>
        <v>3.72622725</v>
      </c>
      <c r="J17" s="332">
        <f ca="1">INDEX(OFFSET('Adjustment scenario'!$D$1:$W$1,$D17-1,0),MATCH(J$4,'Adjustment scenario'!$D$10:$W$10,0))</f>
        <v>3.6524805000000002</v>
      </c>
      <c r="K17" s="332">
        <f ca="1">INDEX(OFFSET('Adjustment scenario'!$D$1:$W$1,$D17-1,0),MATCH(K$4,'Adjustment scenario'!$D$10:$W$10,0))</f>
        <v>3.57873375</v>
      </c>
      <c r="L17" s="332">
        <f ca="1">INDEX(OFFSET('Adjustment scenario'!$D$1:$W$1,$D17-1,0),MATCH(L$4,'Adjustment scenario'!$D$10:$W$10,0))</f>
        <v>3.5049869999999999</v>
      </c>
      <c r="M17" s="332">
        <f ca="1">INDEX(OFFSET('Adjustment scenario'!$D$1:$W$1,$D17-1,0),MATCH(M$4,'Adjustment scenario'!$D$10:$W$10,0))</f>
        <v>3.4312402500000001</v>
      </c>
      <c r="N17" s="332">
        <f ca="1">INDEX(OFFSET('Adjustment scenario'!$D$1:$W$1,$D17-1,0),MATCH(N$4,'Adjustment scenario'!$D$10:$W$10,0))</f>
        <v>3.3574934999999999</v>
      </c>
      <c r="O17" s="332">
        <f ca="1">INDEX(OFFSET('Adjustment scenario'!$D$1:$W$1,$D17-1,0),MATCH(O$4,'Adjustment scenario'!$D$10:$W$10,0))</f>
        <v>3.2837467499999997</v>
      </c>
      <c r="P17" s="332">
        <f ca="1">INDEX(OFFSET('Adjustment scenario'!$D$1:$W$1,$D17-1,0),MATCH(P$4,'Adjustment scenario'!$D$10:$W$10,0))</f>
        <v>3.21</v>
      </c>
      <c r="Q17" s="332">
        <f ca="1">INDEX(OFFSET('Adjustment scenario'!$D$1:$W$1,$D17-1,0),MATCH(Q$4,'Adjustment scenario'!$D$10:$W$10,0))</f>
        <v>3.1995</v>
      </c>
      <c r="R17" s="332">
        <f ca="1">INDEX(OFFSET('Adjustment scenario'!$D$1:$W$1,$D17-1,0),MATCH(R$4,'Adjustment scenario'!$D$10:$W$10,0))</f>
        <v>3.1890000000000001</v>
      </c>
      <c r="S17" s="332">
        <f ca="1">INDEX(OFFSET('Adjustment scenario'!$D$1:$W$1,$D17-1,0),MATCH(S$4,'Adjustment scenario'!$D$10:$W$10,0))</f>
        <v>3.1785000000000001</v>
      </c>
      <c r="T17" s="332">
        <f ca="1">INDEX(OFFSET('Adjustment scenario'!$D$1:$W$1,$D17-1,0),MATCH(T$4,'Adjustment scenario'!$D$10:$W$10,0))</f>
        <v>3.1680000000000001</v>
      </c>
      <c r="U17" s="332">
        <f ca="1">INDEX(OFFSET('Adjustment scenario'!$D$1:$W$1,$D17-1,0),MATCH(U$4,'Adjustment scenario'!$D$10:$W$10,0))</f>
        <v>3.1574999999999998</v>
      </c>
      <c r="V17" s="332">
        <f ca="1">INDEX(OFFSET('Adjustment scenario'!$D$1:$W$1,$D17-1,0),MATCH(V$4,'Adjustment scenario'!$D$10:$W$10,0))</f>
        <v>3.1469999999999998</v>
      </c>
      <c r="W17" s="332">
        <f ca="1">INDEX(OFFSET('Adjustment scenario'!$D$1:$W$1,$D17-1,0),MATCH(W$4,'Adjustment scenario'!$D$10:$W$10,0))</f>
        <v>3.1364999999999998</v>
      </c>
      <c r="X17" s="332">
        <f ca="1">INDEX(OFFSET('Adjustment scenario'!$D$1:$W$1,$D17-1,0),MATCH(X$4,'Adjustment scenario'!$D$10:$W$10,0))</f>
        <v>3.1259999999999999</v>
      </c>
      <c r="Y17" s="271"/>
    </row>
    <row r="18" spans="1:25" x14ac:dyDescent="0.2">
      <c r="A18" s="271"/>
      <c r="B18" s="339">
        <v>14</v>
      </c>
      <c r="C18" s="335" t="s">
        <v>233</v>
      </c>
      <c r="D18" s="344">
        <v>33</v>
      </c>
      <c r="E18" s="345" t="s">
        <v>230</v>
      </c>
      <c r="F18" s="332">
        <f ca="1">INDEX(OFFSET('Adjustment scenario'!$D$1:$W$1,$D18-1,0),MATCH(F$4,'Adjustment scenario'!$D$10:$W$10,0))</f>
        <v>13.707449415840411</v>
      </c>
      <c r="G18" s="332">
        <f ca="1">INDEX(OFFSET('Adjustment scenario'!$D$1:$W$1,$D18-1,0),MATCH(G$4,'Adjustment scenario'!$D$10:$W$10,0))</f>
        <v>7.8448926524976592</v>
      </c>
      <c r="H18" s="332">
        <f ca="1">INDEX(OFFSET('Adjustment scenario'!$D$1:$W$1,$D18-1,0),MATCH(H$4,'Adjustment scenario'!$D$10:$W$10,0))</f>
        <v>6.6898877601293316</v>
      </c>
      <c r="I18" s="332">
        <f ca="1">INDEX(OFFSET('Adjustment scenario'!$D$1:$W$1,$D18-1,0),MATCH(I$4,'Adjustment scenario'!$D$10:$W$10,0))</f>
        <v>5.8829833926471009</v>
      </c>
      <c r="J18" s="332">
        <f ca="1">INDEX(OFFSET('Adjustment scenario'!$D$1:$W$1,$D18-1,0),MATCH(J$4,'Adjustment scenario'!$D$10:$W$10,0))</f>
        <v>5.7272304349907932</v>
      </c>
      <c r="K18" s="332">
        <f ca="1">INDEX(OFFSET('Adjustment scenario'!$D$1:$W$1,$D18-1,0),MATCH(K$4,'Adjustment scenario'!$D$10:$W$10,0))</f>
        <v>5.5963522501186969</v>
      </c>
      <c r="L18" s="332">
        <f ca="1">INDEX(OFFSET('Adjustment scenario'!$D$1:$W$1,$D18-1,0),MATCH(L$4,'Adjustment scenario'!$D$10:$W$10,0))</f>
        <v>6.0895229712210952</v>
      </c>
      <c r="M18" s="332">
        <f ca="1">INDEX(OFFSET('Adjustment scenario'!$D$1:$W$1,$D18-1,0),MATCH(M$4,'Adjustment scenario'!$D$10:$W$10,0))</f>
        <v>6.0171917716874246</v>
      </c>
      <c r="N18" s="332">
        <f ca="1">INDEX(OFFSET('Adjustment scenario'!$D$1:$W$1,$D18-1,0),MATCH(N$4,'Adjustment scenario'!$D$10:$W$10,0))</f>
        <v>5.9023285627750388</v>
      </c>
      <c r="O18" s="332">
        <f ca="1">INDEX(OFFSET('Adjustment scenario'!$D$1:$W$1,$D18-1,0),MATCH(O$4,'Adjustment scenario'!$D$10:$W$10,0))</f>
        <v>5.2435837311928912</v>
      </c>
      <c r="P18" s="332">
        <f ca="1">INDEX(OFFSET('Adjustment scenario'!$D$1:$W$1,$D18-1,0),MATCH(P$4,'Adjustment scenario'!$D$10:$W$10,0))</f>
        <v>5.1531222848000047</v>
      </c>
      <c r="Q18" s="332">
        <f ca="1">INDEX(OFFSET('Adjustment scenario'!$D$1:$W$1,$D18-1,0),MATCH(Q$4,'Adjustment scenario'!$D$10:$W$10,0))</f>
        <v>5.1032366564250031</v>
      </c>
      <c r="R18" s="332">
        <f ca="1">INDEX(OFFSET('Adjustment scenario'!$D$1:$W$1,$D18-1,0),MATCH(R$4,'Adjustment scenario'!$D$10:$W$10,0))</f>
        <v>5.0533559067099887</v>
      </c>
      <c r="S18" s="332">
        <f ca="1">INDEX(OFFSET('Adjustment scenario'!$D$1:$W$1,$D18-1,0),MATCH(S$4,'Adjustment scenario'!$D$10:$W$10,0))</f>
        <v>5.003490354450002</v>
      </c>
      <c r="T18" s="332">
        <f ca="1">INDEX(OFFSET('Adjustment scenario'!$D$1:$W$1,$D18-1,0),MATCH(T$4,'Adjustment scenario'!$D$10:$W$10,0))</f>
        <v>4.9848741094399962</v>
      </c>
      <c r="U18" s="332">
        <f ca="1">INDEX(OFFSET('Adjustment scenario'!$D$1:$W$1,$D18-1,0),MATCH(U$4,'Adjustment scenario'!$D$10:$W$10,0))</f>
        <v>4.9190690487499911</v>
      </c>
      <c r="V18" s="332">
        <f ca="1">INDEX(OFFSET('Adjustment scenario'!$D$1:$W$1,$D18-1,0),MATCH(V$4,'Adjustment scenario'!$D$10:$W$10,0))</f>
        <v>4.851986902960026</v>
      </c>
      <c r="W18" s="332">
        <f ca="1">INDEX(OFFSET('Adjustment scenario'!$D$1:$W$1,$D18-1,0),MATCH(W$4,'Adjustment scenario'!$D$10:$W$10,0))</f>
        <v>4.8060313760349915</v>
      </c>
      <c r="X18" s="332">
        <f ca="1">INDEX(OFFSET('Adjustment scenario'!$D$1:$W$1,$D18-1,0),MATCH(X$4,'Adjustment scenario'!$D$10:$W$10,0))</f>
        <v>4.777184417580016</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234</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220</v>
      </c>
      <c r="D23" s="344">
        <v>56</v>
      </c>
      <c r="E23" s="345" t="s">
        <v>221</v>
      </c>
      <c r="F23" s="332">
        <f ca="1">INDEX(OFFSET('Financial stress'!$D$1:$W$1,$D23-1,0),MATCH(F$4,'Financial stress'!$D$10:$W$10,0))</f>
        <v>73.520357526734585</v>
      </c>
      <c r="G23" s="332">
        <f ca="1">INDEX(OFFSET('Financial stress'!$D$1:$W$1,$D23-1,0),MATCH(G$4,'Financial stress'!$D$10:$W$10,0))</f>
        <v>74.287964673525892</v>
      </c>
      <c r="H23" s="332">
        <f ca="1">INDEX(OFFSET('Financial stress'!$D$1:$W$1,$D23-1,0),MATCH(H$4,'Financial stress'!$D$10:$W$10,0))</f>
        <v>73.854222000134087</v>
      </c>
      <c r="I23" s="332">
        <f ca="1">INDEX(OFFSET('Financial stress'!$D$1:$W$1,$D23-1,0),MATCH(I$4,'Financial stress'!$D$10:$W$10,0))</f>
        <v>73.145093744834028</v>
      </c>
      <c r="J23" s="332">
        <f ca="1">INDEX(OFFSET('Financial stress'!$D$1:$W$1,$D23-1,0),MATCH(J$4,'Financial stress'!$D$10:$W$10,0))</f>
        <v>71.995695653916613</v>
      </c>
      <c r="K23" s="332">
        <f ca="1">INDEX(OFFSET('Financial stress'!$D$1:$W$1,$D23-1,0),MATCH(K$4,'Financial stress'!$D$10:$W$10,0))</f>
        <v>70.351529341469288</v>
      </c>
      <c r="L23" s="332">
        <f ca="1">INDEX(OFFSET('Financial stress'!$D$1:$W$1,$D23-1,0),MATCH(L$4,'Financial stress'!$D$10:$W$10,0))</f>
        <v>68.323105241682399</v>
      </c>
      <c r="M23" s="332">
        <f ca="1">INDEX(OFFSET('Financial stress'!$D$1:$W$1,$D23-1,0),MATCH(M$4,'Financial stress'!$D$10:$W$10,0))</f>
        <v>66.163930560724978</v>
      </c>
      <c r="N23" s="332">
        <f ca="1">INDEX(OFFSET('Financial stress'!$D$1:$W$1,$D23-1,0),MATCH(N$4,'Financial stress'!$D$10:$W$10,0))</f>
        <v>63.966306525592465</v>
      </c>
      <c r="O23" s="332">
        <f ca="1">INDEX(OFFSET('Financial stress'!$D$1:$W$1,$D23-1,0),MATCH(O$4,'Financial stress'!$D$10:$W$10,0))</f>
        <v>62.267046888777941</v>
      </c>
      <c r="P23" s="332">
        <f ca="1">INDEX(OFFSET('Financial stress'!$D$1:$W$1,$D23-1,0),MATCH(P$4,'Financial stress'!$D$10:$W$10,0))</f>
        <v>60.733431265573927</v>
      </c>
      <c r="Q23" s="332">
        <f ca="1">INDEX(OFFSET('Financial stress'!$D$1:$W$1,$D23-1,0),MATCH(Q$4,'Financial stress'!$D$10:$W$10,0))</f>
        <v>59.355933416894487</v>
      </c>
      <c r="R23" s="332">
        <f ca="1">INDEX(OFFSET('Financial stress'!$D$1:$W$1,$D23-1,0),MATCH(R$4,'Financial stress'!$D$10:$W$10,0))</f>
        <v>58.164293462786084</v>
      </c>
      <c r="S23" s="332">
        <f ca="1">INDEX(OFFSET('Financial stress'!$D$1:$W$1,$D23-1,0),MATCH(S$4,'Financial stress'!$D$10:$W$10,0))</f>
        <v>57.182226591857621</v>
      </c>
      <c r="T23" s="332">
        <f ca="1">INDEX(OFFSET('Financial stress'!$D$1:$W$1,$D23-1,0),MATCH(T$4,'Financial stress'!$D$10:$W$10,0))</f>
        <v>56.39604113913299</v>
      </c>
      <c r="U23" s="332">
        <f ca="1">INDEX(OFFSET('Financial stress'!$D$1:$W$1,$D23-1,0),MATCH(U$4,'Financial stress'!$D$10:$W$10,0))</f>
        <v>55.836239900039594</v>
      </c>
      <c r="V23" s="332">
        <f ca="1">INDEX(OFFSET('Financial stress'!$D$1:$W$1,$D23-1,0),MATCH(V$4,'Financial stress'!$D$10:$W$10,0))</f>
        <v>55.515514836527842</v>
      </c>
      <c r="W23" s="332">
        <f ca="1">INDEX(OFFSET('Financial stress'!$D$1:$W$1,$D23-1,0),MATCH(W$4,'Financial stress'!$D$10:$W$10,0))</f>
        <v>55.436126432538003</v>
      </c>
      <c r="X23" s="332">
        <f ca="1">INDEX(OFFSET('Financial stress'!$D$1:$W$1,$D23-1,0),MATCH(X$4,'Financial stress'!$D$10:$W$10,0))</f>
        <v>55.612874370590959</v>
      </c>
      <c r="Y23" s="271"/>
    </row>
    <row r="24" spans="1:25" x14ac:dyDescent="0.2">
      <c r="A24" s="271"/>
      <c r="B24" s="339">
        <v>2</v>
      </c>
      <c r="C24" s="343" t="s">
        <v>94</v>
      </c>
      <c r="D24" s="344">
        <v>36</v>
      </c>
      <c r="E24" s="345" t="s">
        <v>227</v>
      </c>
      <c r="F24" s="332">
        <f ca="1">INDEX(OFFSET('Financial stress'!$D$1:$W$1,$D24-1,0),MATCH(F$4,'Financial stress'!$D$10:$W$10,0))</f>
        <v>7.51</v>
      </c>
      <c r="G24" s="332">
        <f ca="1">INDEX(OFFSET('Financial stress'!$D$1:$W$1,$D24-1,0),MATCH(G$4,'Financial stress'!$D$10:$W$10,0))</f>
        <v>6.852957</v>
      </c>
      <c r="H24" s="332">
        <f ca="1">INDEX(OFFSET('Financial stress'!$D$1:$W$1,$D24-1,0),MATCH(H$4,'Financial stress'!$D$10:$W$10,0))</f>
        <v>7.0544219999999997</v>
      </c>
      <c r="I24" s="332">
        <f ca="1">INDEX(OFFSET('Financial stress'!$D$1:$W$1,$D24-1,0),MATCH(I$4,'Financial stress'!$D$10:$W$10,0))</f>
        <v>6.9882267499999999</v>
      </c>
      <c r="J24" s="332">
        <f ca="1">INDEX(OFFSET('Financial stress'!$D$1:$W$1,$D24-1,0),MATCH(J$4,'Financial stress'!$D$10:$W$10,0))</f>
        <v>6.9220315000000001</v>
      </c>
      <c r="K24" s="332">
        <f ca="1">INDEX(OFFSET('Financial stress'!$D$1:$W$1,$D24-1,0),MATCH(K$4,'Financial stress'!$D$10:$W$10,0))</f>
        <v>6.8558362500000003</v>
      </c>
      <c r="L24" s="332">
        <f ca="1">INDEX(OFFSET('Financial stress'!$D$1:$W$1,$D24-1,0),MATCH(L$4,'Financial stress'!$D$10:$W$10,0))</f>
        <v>7.7896409999999996</v>
      </c>
      <c r="M24" s="332">
        <f ca="1">INDEX(OFFSET('Financial stress'!$D$1:$W$1,$D24-1,0),MATCH(M$4,'Financial stress'!$D$10:$W$10,0))</f>
        <v>6.7234457499999998</v>
      </c>
      <c r="N24" s="332">
        <f ca="1">INDEX(OFFSET('Financial stress'!$D$1:$W$1,$D24-1,0),MATCH(N$4,'Financial stress'!$D$10:$W$10,0))</f>
        <v>6.6572505</v>
      </c>
      <c r="O24" s="332">
        <f ca="1">INDEX(OFFSET('Financial stress'!$D$1:$W$1,$D24-1,0),MATCH(O$4,'Financial stress'!$D$10:$W$10,0))</f>
        <v>6.5910552500000001</v>
      </c>
      <c r="P24" s="332">
        <f ca="1">INDEX(OFFSET('Financial stress'!$D$1:$W$1,$D24-1,0),MATCH(P$4,'Financial stress'!$D$10:$W$10,0))</f>
        <v>6.5248600000000003</v>
      </c>
      <c r="Q24" s="332">
        <f ca="1">INDEX(OFFSET('Financial stress'!$D$1:$W$1,$D24-1,0),MATCH(Q$4,'Financial stress'!$D$10:$W$10,0))</f>
        <v>6.4486170000000005</v>
      </c>
      <c r="R24" s="332">
        <f ca="1">INDEX(OFFSET('Financial stress'!$D$1:$W$1,$D24-1,0),MATCH(R$4,'Financial stress'!$D$10:$W$10,0))</f>
        <v>6.3723740000000006</v>
      </c>
      <c r="S24" s="332">
        <f ca="1">INDEX(OFFSET('Financial stress'!$D$1:$W$1,$D24-1,0),MATCH(S$4,'Financial stress'!$D$10:$W$10,0))</f>
        <v>6.2961309999999999</v>
      </c>
      <c r="T24" s="332">
        <f ca="1">INDEX(OFFSET('Financial stress'!$D$1:$W$1,$D24-1,0),MATCH(T$4,'Financial stress'!$D$10:$W$10,0))</f>
        <v>6.2198880000000001</v>
      </c>
      <c r="U24" s="332">
        <f ca="1">INDEX(OFFSET('Financial stress'!$D$1:$W$1,$D24-1,0),MATCH(U$4,'Financial stress'!$D$10:$W$10,0))</f>
        <v>6.1436450000000002</v>
      </c>
      <c r="V24" s="332">
        <f ca="1">INDEX(OFFSET('Financial stress'!$D$1:$W$1,$D24-1,0),MATCH(V$4,'Financial stress'!$D$10:$W$10,0))</f>
        <v>6.0674020000000004</v>
      </c>
      <c r="W24" s="332">
        <f ca="1">INDEX(OFFSET('Financial stress'!$D$1:$W$1,$D24-1,0),MATCH(W$4,'Financial stress'!$D$10:$W$10,0))</f>
        <v>5.9911590000000006</v>
      </c>
      <c r="X24" s="332">
        <f ca="1">INDEX(OFFSET('Financial stress'!$D$1:$W$1,$D24-1,0),MATCH(X$4,'Financial stress'!$D$10:$W$10,0))</f>
        <v>5.9149159999999998</v>
      </c>
      <c r="Y24" s="271"/>
    </row>
    <row r="25" spans="1:25" x14ac:dyDescent="0.2">
      <c r="A25" s="271"/>
      <c r="B25" s="339">
        <v>3</v>
      </c>
      <c r="C25" s="343" t="s">
        <v>95</v>
      </c>
      <c r="D25" s="344">
        <v>37</v>
      </c>
      <c r="E25" s="345" t="s">
        <v>227</v>
      </c>
      <c r="F25" s="332">
        <f ca="1">INDEX(OFFSET('Financial stress'!$D$1:$W$1,$D25-1,0),MATCH(F$4,'Financial stress'!$D$10:$W$10,0))</f>
        <v>15.97</v>
      </c>
      <c r="G25" s="332">
        <f ca="1">INDEX(OFFSET('Financial stress'!$D$1:$W$1,$D25-1,0),MATCH(G$4,'Financial stress'!$D$10:$W$10,0))</f>
        <v>7.4377000000000004</v>
      </c>
      <c r="H25" s="332">
        <f ca="1">INDEX(OFFSET('Financial stress'!$D$1:$W$1,$D25-1,0),MATCH(H$4,'Financial stress'!$D$10:$W$10,0))</f>
        <v>6.4500719999999996</v>
      </c>
      <c r="I25" s="332">
        <f ca="1">INDEX(OFFSET('Financial stress'!$D$1:$W$1,$D25-1,0),MATCH(I$4,'Financial stress'!$D$10:$W$10,0))</f>
        <v>6.4235542499999996</v>
      </c>
      <c r="J25" s="332">
        <f ca="1">INDEX(OFFSET('Financial stress'!$D$1:$W$1,$D25-1,0),MATCH(J$4,'Financial stress'!$D$10:$W$10,0))</f>
        <v>6.3970364999999996</v>
      </c>
      <c r="K25" s="332">
        <f ca="1">INDEX(OFFSET('Financial stress'!$D$1:$W$1,$D25-1,0),MATCH(K$4,'Financial stress'!$D$10:$W$10,0))</f>
        <v>6.3705187499999996</v>
      </c>
      <c r="L25" s="332">
        <f ca="1">INDEX(OFFSET('Financial stress'!$D$1:$W$1,$D25-1,0),MATCH(L$4,'Financial stress'!$D$10:$W$10,0))</f>
        <v>7.3440010000000004</v>
      </c>
      <c r="M25" s="332">
        <f ca="1">INDEX(OFFSET('Financial stress'!$D$1:$W$1,$D25-1,0),MATCH(M$4,'Financial stress'!$D$10:$W$10,0))</f>
        <v>6.3174832500000004</v>
      </c>
      <c r="N25" s="332">
        <f ca="1">INDEX(OFFSET('Financial stress'!$D$1:$W$1,$D25-1,0),MATCH(N$4,'Financial stress'!$D$10:$W$10,0))</f>
        <v>6.2909655000000004</v>
      </c>
      <c r="O25" s="332">
        <f ca="1">INDEX(OFFSET('Financial stress'!$D$1:$W$1,$D25-1,0),MATCH(O$4,'Financial stress'!$D$10:$W$10,0))</f>
        <v>6.2644477500000004</v>
      </c>
      <c r="P25" s="332">
        <f ca="1">INDEX(OFFSET('Financial stress'!$D$1:$W$1,$D25-1,0),MATCH(P$4,'Financial stress'!$D$10:$W$10,0))</f>
        <v>6.2379300000000004</v>
      </c>
      <c r="Q25" s="332">
        <f ca="1">INDEX(OFFSET('Financial stress'!$D$1:$W$1,$D25-1,0),MATCH(Q$4,'Financial stress'!$D$10:$W$10,0))</f>
        <v>6.0510335000000008</v>
      </c>
      <c r="R25" s="332">
        <f ca="1">INDEX(OFFSET('Financial stress'!$D$1:$W$1,$D25-1,0),MATCH(R$4,'Financial stress'!$D$10:$W$10,0))</f>
        <v>5.8641370000000004</v>
      </c>
      <c r="S25" s="332">
        <f ca="1">INDEX(OFFSET('Financial stress'!$D$1:$W$1,$D25-1,0),MATCH(S$4,'Financial stress'!$D$10:$W$10,0))</f>
        <v>5.6772404999999999</v>
      </c>
      <c r="T25" s="332">
        <f ca="1">INDEX(OFFSET('Financial stress'!$D$1:$W$1,$D25-1,0),MATCH(T$4,'Financial stress'!$D$10:$W$10,0))</f>
        <v>5.4903440000000003</v>
      </c>
      <c r="U25" s="332">
        <f ca="1">INDEX(OFFSET('Financial stress'!$D$1:$W$1,$D25-1,0),MATCH(U$4,'Financial stress'!$D$10:$W$10,0))</f>
        <v>5.3034475000000008</v>
      </c>
      <c r="V25" s="332">
        <f ca="1">INDEX(OFFSET('Financial stress'!$D$1:$W$1,$D25-1,0),MATCH(V$4,'Financial stress'!$D$10:$W$10,0))</f>
        <v>5.1165510000000003</v>
      </c>
      <c r="W25" s="332">
        <f ca="1">INDEX(OFFSET('Financial stress'!$D$1:$W$1,$D25-1,0),MATCH(W$4,'Financial stress'!$D$10:$W$10,0))</f>
        <v>4.9296544999999998</v>
      </c>
      <c r="X25" s="332">
        <f ca="1">INDEX(OFFSET('Financial stress'!$D$1:$W$1,$D25-1,0),MATCH(X$4,'Financial stress'!$D$10:$W$10,0))</f>
        <v>4.7427580000000003</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220</v>
      </c>
      <c r="D27" s="344">
        <v>56</v>
      </c>
      <c r="E27" s="345" t="s">
        <v>221</v>
      </c>
      <c r="F27" s="332">
        <f ca="1">INDEX(OFFSET('Lower SPB'!$D$1:$W$1,$D27-1,0),MATCH(F$4,'Lower SPB'!$D$10:$W$10,0))</f>
        <v>73.520357526734585</v>
      </c>
      <c r="G27" s="332">
        <f ca="1">INDEX(OFFSET('Lower SPB'!$D$1:$W$1,$D27-1,0),MATCH(G$4,'Lower SPB'!$D$10:$W$10,0))</f>
        <v>74.287964673525892</v>
      </c>
      <c r="H27" s="332">
        <f ca="1">INDEX(OFFSET('Lower SPB'!$D$1:$W$1,$D27-1,0),MATCH(H$4,'Lower SPB'!$D$10:$W$10,0))</f>
        <v>73.854222000134087</v>
      </c>
      <c r="I27" s="332">
        <f ca="1">INDEX(OFFSET('Lower SPB'!$D$1:$W$1,$D27-1,0),MATCH(I$4,'Lower SPB'!$D$10:$W$10,0))</f>
        <v>73.145093744834028</v>
      </c>
      <c r="J27" s="332">
        <f ca="1">INDEX(OFFSET('Lower SPB'!$D$1:$W$1,$D27-1,0),MATCH(J$4,'Lower SPB'!$D$10:$W$10,0))</f>
        <v>71.995695653916613</v>
      </c>
      <c r="K27" s="332">
        <f ca="1">INDEX(OFFSET('Lower SPB'!$D$1:$W$1,$D27-1,0),MATCH(K$4,'Lower SPB'!$D$10:$W$10,0))</f>
        <v>70.351529341469288</v>
      </c>
      <c r="L27" s="332">
        <f ca="1">INDEX(OFFSET('Lower SPB'!$D$1:$W$1,$D27-1,0),MATCH(L$4,'Lower SPB'!$D$10:$W$10,0))</f>
        <v>68.259327261549117</v>
      </c>
      <c r="M27" s="332">
        <f ca="1">INDEX(OFFSET('Lower SPB'!$D$1:$W$1,$D27-1,0),MATCH(M$4,'Lower SPB'!$D$10:$W$10,0))</f>
        <v>66.487184626560449</v>
      </c>
      <c r="N27" s="332">
        <f ca="1">INDEX(OFFSET('Lower SPB'!$D$1:$W$1,$D27-1,0),MATCH(N$4,'Lower SPB'!$D$10:$W$10,0))</f>
        <v>65.051975808083085</v>
      </c>
      <c r="O27" s="332">
        <f ca="1">INDEX(OFFSET('Lower SPB'!$D$1:$W$1,$D27-1,0),MATCH(O$4,'Lower SPB'!$D$10:$W$10,0))</f>
        <v>63.806109754250905</v>
      </c>
      <c r="P27" s="332">
        <f ca="1">INDEX(OFFSET('Lower SPB'!$D$1:$W$1,$D27-1,0),MATCH(P$4,'Lower SPB'!$D$10:$W$10,0))</f>
        <v>62.698553197651499</v>
      </c>
      <c r="Q27" s="332">
        <f ca="1">INDEX(OFFSET('Lower SPB'!$D$1:$W$1,$D27-1,0),MATCH(Q$4,'Lower SPB'!$D$10:$W$10,0))</f>
        <v>61.814846081655311</v>
      </c>
      <c r="R27" s="332">
        <f ca="1">INDEX(OFFSET('Lower SPB'!$D$1:$W$1,$D27-1,0),MATCH(R$4,'Lower SPB'!$D$10:$W$10,0))</f>
        <v>61.12737905812407</v>
      </c>
      <c r="S27" s="332">
        <f ca="1">INDEX(OFFSET('Lower SPB'!$D$1:$W$1,$D27-1,0),MATCH(S$4,'Lower SPB'!$D$10:$W$10,0))</f>
        <v>60.659359285329188</v>
      </c>
      <c r="T27" s="332">
        <f ca="1">INDEX(OFFSET('Lower SPB'!$D$1:$W$1,$D27-1,0),MATCH(T$4,'Lower SPB'!$D$10:$W$10,0))</f>
        <v>60.395579243721158</v>
      </c>
      <c r="U27" s="332">
        <f ca="1">INDEX(OFFSET('Lower SPB'!$D$1:$W$1,$D27-1,0),MATCH(U$4,'Lower SPB'!$D$10:$W$10,0))</f>
        <v>60.367583592442259</v>
      </c>
      <c r="V27" s="332">
        <f ca="1">INDEX(OFFSET('Lower SPB'!$D$1:$W$1,$D27-1,0),MATCH(V$4,'Lower SPB'!$D$10:$W$10,0))</f>
        <v>60.587861526384884</v>
      </c>
      <c r="W27" s="332">
        <f ca="1">INDEX(OFFSET('Lower SPB'!$D$1:$W$1,$D27-1,0),MATCH(W$4,'Lower SPB'!$D$10:$W$10,0))</f>
        <v>61.05742308013626</v>
      </c>
      <c r="X27" s="332">
        <f ca="1">INDEX(OFFSET('Lower SPB'!$D$1:$W$1,$D27-1,0),MATCH(X$4,'Lower SPB'!$D$10:$W$10,0))</f>
        <v>61.789709364172644</v>
      </c>
      <c r="Y27" s="271"/>
    </row>
    <row r="28" spans="1:25" x14ac:dyDescent="0.2">
      <c r="A28" s="271"/>
      <c r="B28" s="339">
        <v>5</v>
      </c>
      <c r="C28" s="343" t="s">
        <v>40</v>
      </c>
      <c r="D28" s="344">
        <v>12</v>
      </c>
      <c r="E28" s="345" t="s">
        <v>223</v>
      </c>
      <c r="F28" s="332">
        <f ca="1">INDEX(OFFSET('Lower SPB'!$D$1:$W$1,$D28-1,0),MATCH(F$4,'Lower SPB'!$D$10:$W$10,0))</f>
        <v>-1.336916</v>
      </c>
      <c r="G28" s="332">
        <f ca="1">INDEX(OFFSET('Lower SPB'!$D$1:$W$1,$D28-1,0),MATCH(G$4,'Lower SPB'!$D$10:$W$10,0))</f>
        <v>3.4885699999999999E-2</v>
      </c>
      <c r="H28" s="332">
        <f ca="1">INDEX(OFFSET('Lower SPB'!$D$1:$W$1,$D28-1,0),MATCH(H$4,'Lower SPB'!$D$10:$W$10,0))</f>
        <v>0.69488570000000005</v>
      </c>
      <c r="I28" s="332">
        <f ca="1">INDEX(OFFSET('Lower SPB'!$D$1:$W$1,$D28-1,0),MATCH(I$4,'Lower SPB'!$D$10:$W$10,0))</f>
        <v>1.3548857000000001</v>
      </c>
      <c r="J28" s="332">
        <f ca="1">INDEX(OFFSET('Lower SPB'!$D$1:$W$1,$D28-1,0),MATCH(J$4,'Lower SPB'!$D$10:$W$10,0))</f>
        <v>2.0148857000000002</v>
      </c>
      <c r="K28" s="332">
        <f ca="1">INDEX(OFFSET('Lower SPB'!$D$1:$W$1,$D28-1,0),MATCH(K$4,'Lower SPB'!$D$10:$W$10,0))</f>
        <v>2.6748857000000004</v>
      </c>
      <c r="L28" s="332">
        <f ca="1">INDEX(OFFSET('Lower SPB'!$D$1:$W$1,$D28-1,0),MATCH(L$4,'Lower SPB'!$D$10:$W$10,0))</f>
        <v>2.4248857000000004</v>
      </c>
      <c r="M28" s="332">
        <f ca="1">INDEX(OFFSET('Lower SPB'!$D$1:$W$1,$D28-1,0),MATCH(M$4,'Lower SPB'!$D$10:$W$10,0))</f>
        <v>2.1748857000000004</v>
      </c>
      <c r="N28" s="332">
        <f ca="1">INDEX(OFFSET('Lower SPB'!$D$1:$W$1,$D28-1,0),MATCH(N$4,'Lower SPB'!$D$10:$W$10,0))</f>
        <v>2.1748857000000004</v>
      </c>
      <c r="O28" s="332">
        <f ca="1">INDEX(OFFSET('Lower SPB'!$D$1:$W$1,$D28-1,0),MATCH(O$4,'Lower SPB'!$D$10:$W$10,0))</f>
        <v>2.1748857000000004</v>
      </c>
      <c r="P28" s="332">
        <f ca="1">INDEX(OFFSET('Lower SPB'!$D$1:$W$1,$D28-1,0),MATCH(P$4,'Lower SPB'!$D$10:$W$10,0))</f>
        <v>2.1748857000000004</v>
      </c>
      <c r="Q28" s="332">
        <f ca="1">INDEX(OFFSET('Lower SPB'!$D$1:$W$1,$D28-1,0),MATCH(Q$4,'Lower SPB'!$D$10:$W$10,0))</f>
        <v>2.1748857000000004</v>
      </c>
      <c r="R28" s="332">
        <f ca="1">INDEX(OFFSET('Lower SPB'!$D$1:$W$1,$D28-1,0),MATCH(R$4,'Lower SPB'!$D$10:$W$10,0))</f>
        <v>2.1748857000000004</v>
      </c>
      <c r="S28" s="332">
        <f ca="1">INDEX(OFFSET('Lower SPB'!$D$1:$W$1,$D28-1,0),MATCH(S$4,'Lower SPB'!$D$10:$W$10,0))</f>
        <v>2.1748857000000004</v>
      </c>
      <c r="T28" s="332">
        <f ca="1">INDEX(OFFSET('Lower SPB'!$D$1:$W$1,$D28-1,0),MATCH(T$4,'Lower SPB'!$D$10:$W$10,0))</f>
        <v>2.1748857000000004</v>
      </c>
      <c r="U28" s="332">
        <f ca="1">INDEX(OFFSET('Lower SPB'!$D$1:$W$1,$D28-1,0),MATCH(U$4,'Lower SPB'!$D$10:$W$10,0))</f>
        <v>2.1748857000000004</v>
      </c>
      <c r="V28" s="332">
        <f ca="1">INDEX(OFFSET('Lower SPB'!$D$1:$W$1,$D28-1,0),MATCH(V$4,'Lower SPB'!$D$10:$W$10,0))</f>
        <v>2.1748857000000004</v>
      </c>
      <c r="W28" s="332">
        <f ca="1">INDEX(OFFSET('Lower SPB'!$D$1:$W$1,$D28-1,0),MATCH(W$4,'Lower SPB'!$D$10:$W$10,0))</f>
        <v>2.1748857000000004</v>
      </c>
      <c r="X28" s="332">
        <f ca="1">INDEX(OFFSET('Lower SPB'!$D$1:$W$1,$D28-1,0),MATCH(X$4,'Lower SPB'!$D$10:$W$10,0))</f>
        <v>2.1748857000000004</v>
      </c>
      <c r="Y28" s="271"/>
    </row>
    <row r="29" spans="1:25" x14ac:dyDescent="0.2">
      <c r="A29" s="271"/>
      <c r="B29" s="339"/>
      <c r="C29" s="337" t="s">
        <v>235</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220</v>
      </c>
      <c r="D30" s="344">
        <v>57</v>
      </c>
      <c r="E30" s="345" t="s">
        <v>221</v>
      </c>
      <c r="F30" s="332">
        <f ca="1">INDEX(OFFSET('Adverse (r-g)'!$D$1:$W$1,$D30-1,0),MATCH(F$4,'Adverse (r-g)'!$D$10:$W$10,0))</f>
        <v>73.520357526734585</v>
      </c>
      <c r="G30" s="332">
        <f ca="1">INDEX(OFFSET('Adverse (r-g)'!$D$1:$W$1,$D30-1,0),MATCH(G$4,'Adverse (r-g)'!$D$10:$W$10,0))</f>
        <v>74.287964673525892</v>
      </c>
      <c r="H30" s="332">
        <f ca="1">INDEX(OFFSET('Adverse (r-g)'!$D$1:$W$1,$D30-1,0),MATCH(H$4,'Adverse (r-g)'!$D$10:$W$10,0))</f>
        <v>73.854222000134087</v>
      </c>
      <c r="I30" s="332">
        <f ca="1">INDEX(OFFSET('Adverse (r-g)'!$D$1:$W$1,$D30-1,0),MATCH(I$4,'Adverse (r-g)'!$D$10:$W$10,0))</f>
        <v>73.145093744834028</v>
      </c>
      <c r="J30" s="332">
        <f ca="1">INDEX(OFFSET('Adverse (r-g)'!$D$1:$W$1,$D30-1,0),MATCH(J$4,'Adverse (r-g)'!$D$10:$W$10,0))</f>
        <v>71.995695653916613</v>
      </c>
      <c r="K30" s="332">
        <f ca="1">INDEX(OFFSET('Adverse (r-g)'!$D$1:$W$1,$D30-1,0),MATCH(K$4,'Adverse (r-g)'!$D$10:$W$10,0))</f>
        <v>70.351529341469288</v>
      </c>
      <c r="L30" s="332">
        <f ca="1">INDEX(OFFSET('Adverse (r-g)'!$D$1:$W$1,$D30-1,0),MATCH(L$4,'Adverse (r-g)'!$D$10:$W$10,0))</f>
        <v>68.618985811698238</v>
      </c>
      <c r="M30" s="332">
        <f ca="1">INDEX(OFFSET('Adverse (r-g)'!$D$1:$W$1,$D30-1,0),MATCH(M$4,'Adverse (r-g)'!$D$10:$W$10,0))</f>
        <v>66.822586024199808</v>
      </c>
      <c r="N30" s="332">
        <f ca="1">INDEX(OFFSET('Adverse (r-g)'!$D$1:$W$1,$D30-1,0),MATCH(N$4,'Adverse (r-g)'!$D$10:$W$10,0))</f>
        <v>65.010416332265507</v>
      </c>
      <c r="O30" s="332">
        <f ca="1">INDEX(OFFSET('Adverse (r-g)'!$D$1:$W$1,$D30-1,0),MATCH(O$4,'Adverse (r-g)'!$D$10:$W$10,0))</f>
        <v>63.723386659651595</v>
      </c>
      <c r="P30" s="332">
        <f ca="1">INDEX(OFFSET('Adverse (r-g)'!$D$1:$W$1,$D30-1,0),MATCH(P$4,'Adverse (r-g)'!$D$10:$W$10,0))</f>
        <v>62.62377470451716</v>
      </c>
      <c r="Q30" s="332">
        <f ca="1">INDEX(OFFSET('Adverse (r-g)'!$D$1:$W$1,$D30-1,0),MATCH(Q$4,'Adverse (r-g)'!$D$10:$W$10,0))</f>
        <v>61.700425614826223</v>
      </c>
      <c r="R30" s="332">
        <f ca="1">INDEX(OFFSET('Adverse (r-g)'!$D$1:$W$1,$D30-1,0),MATCH(R$4,'Adverse (r-g)'!$D$10:$W$10,0))</f>
        <v>60.982077359007405</v>
      </c>
      <c r="S30" s="332">
        <f ca="1">INDEX(OFFSET('Adverse (r-g)'!$D$1:$W$1,$D30-1,0),MATCH(S$4,'Adverse (r-g)'!$D$10:$W$10,0))</f>
        <v>60.492020685101522</v>
      </c>
      <c r="T30" s="332">
        <f ca="1">INDEX(OFFSET('Adverse (r-g)'!$D$1:$W$1,$D30-1,0),MATCH(T$4,'Adverse (r-g)'!$D$10:$W$10,0))</f>
        <v>60.215406453940737</v>
      </c>
      <c r="U30" s="332">
        <f ca="1">INDEX(OFFSET('Adverse (r-g)'!$D$1:$W$1,$D30-1,0),MATCH(U$4,'Adverse (r-g)'!$D$10:$W$10,0))</f>
        <v>60.184695778798925</v>
      </c>
      <c r="V30" s="332">
        <f ca="1">INDEX(OFFSET('Adverse (r-g)'!$D$1:$W$1,$D30-1,0),MATCH(V$4,'Adverse (r-g)'!$D$10:$W$10,0))</f>
        <v>60.413483015085674</v>
      </c>
      <c r="W30" s="332">
        <f ca="1">INDEX(OFFSET('Adverse (r-g)'!$D$1:$W$1,$D30-1,0),MATCH(W$4,'Adverse (r-g)'!$D$10:$W$10,0))</f>
        <v>60.90406038065688</v>
      </c>
      <c r="X30" s="332">
        <f ca="1">INDEX(OFFSET('Adverse (r-g)'!$D$1:$W$1,$D30-1,0),MATCH(X$4,'Adverse (r-g)'!$D$10:$W$10,0))</f>
        <v>61.671355435283907</v>
      </c>
      <c r="Y30" s="271"/>
    </row>
    <row r="31" spans="1:25" x14ac:dyDescent="0.2">
      <c r="A31" s="271"/>
      <c r="B31" s="339">
        <v>7</v>
      </c>
      <c r="C31" s="343" t="s">
        <v>94</v>
      </c>
      <c r="D31" s="344">
        <v>37</v>
      </c>
      <c r="E31" s="345" t="s">
        <v>227</v>
      </c>
      <c r="F31" s="332">
        <f ca="1">INDEX(OFFSET('Adverse (r-g)'!$D$1:$W$1,$D31-1,0),MATCH(F$4,'Adverse (r-g)'!$D$10:$W$10,0))</f>
        <v>7.51</v>
      </c>
      <c r="G31" s="332">
        <f ca="1">INDEX(OFFSET('Adverse (r-g)'!$D$1:$W$1,$D31-1,0),MATCH(G$4,'Adverse (r-g)'!$D$10:$W$10,0))</f>
        <v>6.852957</v>
      </c>
      <c r="H31" s="332">
        <f ca="1">INDEX(OFFSET('Adverse (r-g)'!$D$1:$W$1,$D31-1,0),MATCH(H$4,'Adverse (r-g)'!$D$10:$W$10,0))</f>
        <v>7.0544219999999997</v>
      </c>
      <c r="I31" s="332">
        <f ca="1">INDEX(OFFSET('Adverse (r-g)'!$D$1:$W$1,$D31-1,0),MATCH(I$4,'Adverse (r-g)'!$D$10:$W$10,0))</f>
        <v>6.9882267499999999</v>
      </c>
      <c r="J31" s="332">
        <f ca="1">INDEX(OFFSET('Adverse (r-g)'!$D$1:$W$1,$D31-1,0),MATCH(J$4,'Adverse (r-g)'!$D$10:$W$10,0))</f>
        <v>6.9220315000000001</v>
      </c>
      <c r="K31" s="332">
        <f ca="1">INDEX(OFFSET('Adverse (r-g)'!$D$1:$W$1,$D31-1,0),MATCH(K$4,'Adverse (r-g)'!$D$10:$W$10,0))</f>
        <v>6.8558362500000003</v>
      </c>
      <c r="L31" s="332">
        <f ca="1">INDEX(OFFSET('Adverse (r-g)'!$D$1:$W$1,$D31-1,0),MATCH(L$4,'Adverse (r-g)'!$D$10:$W$10,0))</f>
        <v>7.2896409999999996</v>
      </c>
      <c r="M31" s="332">
        <f ca="1">INDEX(OFFSET('Adverse (r-g)'!$D$1:$W$1,$D31-1,0),MATCH(M$4,'Adverse (r-g)'!$D$10:$W$10,0))</f>
        <v>7.2234457499999998</v>
      </c>
      <c r="N31" s="332">
        <f ca="1">INDEX(OFFSET('Adverse (r-g)'!$D$1:$W$1,$D31-1,0),MATCH(N$4,'Adverse (r-g)'!$D$10:$W$10,0))</f>
        <v>7.1572505</v>
      </c>
      <c r="O31" s="332">
        <f ca="1">INDEX(OFFSET('Adverse (r-g)'!$D$1:$W$1,$D31-1,0),MATCH(O$4,'Adverse (r-g)'!$D$10:$W$10,0))</f>
        <v>7.0910552500000001</v>
      </c>
      <c r="P31" s="332">
        <f ca="1">INDEX(OFFSET('Adverse (r-g)'!$D$1:$W$1,$D31-1,0),MATCH(P$4,'Adverse (r-g)'!$D$10:$W$10,0))</f>
        <v>7.0248600000000003</v>
      </c>
      <c r="Q31" s="332">
        <f ca="1">INDEX(OFFSET('Adverse (r-g)'!$D$1:$W$1,$D31-1,0),MATCH(Q$4,'Adverse (r-g)'!$D$10:$W$10,0))</f>
        <v>6.9486170000000005</v>
      </c>
      <c r="R31" s="332">
        <f ca="1">INDEX(OFFSET('Adverse (r-g)'!$D$1:$W$1,$D31-1,0),MATCH(R$4,'Adverse (r-g)'!$D$10:$W$10,0))</f>
        <v>6.8723740000000006</v>
      </c>
      <c r="S31" s="332">
        <f ca="1">INDEX(OFFSET('Adverse (r-g)'!$D$1:$W$1,$D31-1,0),MATCH(S$4,'Adverse (r-g)'!$D$10:$W$10,0))</f>
        <v>6.7961309999999999</v>
      </c>
      <c r="T31" s="332">
        <f ca="1">INDEX(OFFSET('Adverse (r-g)'!$D$1:$W$1,$D31-1,0),MATCH(T$4,'Adverse (r-g)'!$D$10:$W$10,0))</f>
        <v>6.7198880000000001</v>
      </c>
      <c r="U31" s="332">
        <f ca="1">INDEX(OFFSET('Adverse (r-g)'!$D$1:$W$1,$D31-1,0),MATCH(U$4,'Adverse (r-g)'!$D$10:$W$10,0))</f>
        <v>6.6436450000000002</v>
      </c>
      <c r="V31" s="332">
        <f ca="1">INDEX(OFFSET('Adverse (r-g)'!$D$1:$W$1,$D31-1,0),MATCH(V$4,'Adverse (r-g)'!$D$10:$W$10,0))</f>
        <v>6.5674020000000004</v>
      </c>
      <c r="W31" s="332">
        <f ca="1">INDEX(OFFSET('Adverse (r-g)'!$D$1:$W$1,$D31-1,0),MATCH(W$4,'Adverse (r-g)'!$D$10:$W$10,0))</f>
        <v>6.4911590000000006</v>
      </c>
      <c r="X31" s="332">
        <f ca="1">INDEX(OFFSET('Adverse (r-g)'!$D$1:$W$1,$D31-1,0),MATCH(X$4,'Adverse (r-g)'!$D$10:$W$10,0))</f>
        <v>6.4149159999999998</v>
      </c>
      <c r="Y31" s="271"/>
    </row>
    <row r="32" spans="1:25" x14ac:dyDescent="0.2">
      <c r="A32" s="271"/>
      <c r="B32" s="339">
        <v>8</v>
      </c>
      <c r="C32" s="343" t="s">
        <v>95</v>
      </c>
      <c r="D32" s="344">
        <v>38</v>
      </c>
      <c r="E32" s="345" t="s">
        <v>227</v>
      </c>
      <c r="F32" s="332">
        <f ca="1">INDEX(OFFSET('Adverse (r-g)'!$D$1:$W$1,$D32-1,0),MATCH(F$4,'Adverse (r-g)'!$D$10:$W$10,0))</f>
        <v>15.97</v>
      </c>
      <c r="G32" s="332">
        <f ca="1">INDEX(OFFSET('Adverse (r-g)'!$D$1:$W$1,$D32-1,0),MATCH(G$4,'Adverse (r-g)'!$D$10:$W$10,0))</f>
        <v>7.4377000000000004</v>
      </c>
      <c r="H32" s="332">
        <f ca="1">INDEX(OFFSET('Adverse (r-g)'!$D$1:$W$1,$D32-1,0),MATCH(H$4,'Adverse (r-g)'!$D$10:$W$10,0))</f>
        <v>6.4500719999999996</v>
      </c>
      <c r="I32" s="332">
        <f ca="1">INDEX(OFFSET('Adverse (r-g)'!$D$1:$W$1,$D32-1,0),MATCH(I$4,'Adverse (r-g)'!$D$10:$W$10,0))</f>
        <v>6.4235542499999996</v>
      </c>
      <c r="J32" s="332">
        <f ca="1">INDEX(OFFSET('Adverse (r-g)'!$D$1:$W$1,$D32-1,0),MATCH(J$4,'Adverse (r-g)'!$D$10:$W$10,0))</f>
        <v>6.3970364999999996</v>
      </c>
      <c r="K32" s="332">
        <f ca="1">INDEX(OFFSET('Adverse (r-g)'!$D$1:$W$1,$D32-1,0),MATCH(K$4,'Adverse (r-g)'!$D$10:$W$10,0))</f>
        <v>6.3705187499999996</v>
      </c>
      <c r="L32" s="332">
        <f ca="1">INDEX(OFFSET('Adverse (r-g)'!$D$1:$W$1,$D32-1,0),MATCH(L$4,'Adverse (r-g)'!$D$10:$W$10,0))</f>
        <v>6.8440010000000004</v>
      </c>
      <c r="M32" s="332">
        <f ca="1">INDEX(OFFSET('Adverse (r-g)'!$D$1:$W$1,$D32-1,0),MATCH(M$4,'Adverse (r-g)'!$D$10:$W$10,0))</f>
        <v>6.8174832500000004</v>
      </c>
      <c r="N32" s="332">
        <f ca="1">INDEX(OFFSET('Adverse (r-g)'!$D$1:$W$1,$D32-1,0),MATCH(N$4,'Adverse (r-g)'!$D$10:$W$10,0))</f>
        <v>6.7909655000000004</v>
      </c>
      <c r="O32" s="332">
        <f ca="1">INDEX(OFFSET('Adverse (r-g)'!$D$1:$W$1,$D32-1,0),MATCH(O$4,'Adverse (r-g)'!$D$10:$W$10,0))</f>
        <v>6.7644477500000004</v>
      </c>
      <c r="P32" s="332">
        <f ca="1">INDEX(OFFSET('Adverse (r-g)'!$D$1:$W$1,$D32-1,0),MATCH(P$4,'Adverse (r-g)'!$D$10:$W$10,0))</f>
        <v>6.7379300000000004</v>
      </c>
      <c r="Q32" s="332">
        <f ca="1">INDEX(OFFSET('Adverse (r-g)'!$D$1:$W$1,$D32-1,0),MATCH(Q$4,'Adverse (r-g)'!$D$10:$W$10,0))</f>
        <v>6.5510335000000008</v>
      </c>
      <c r="R32" s="332">
        <f ca="1">INDEX(OFFSET('Adverse (r-g)'!$D$1:$W$1,$D32-1,0),MATCH(R$4,'Adverse (r-g)'!$D$10:$W$10,0))</f>
        <v>6.3641370000000004</v>
      </c>
      <c r="S32" s="332">
        <f ca="1">INDEX(OFFSET('Adverse (r-g)'!$D$1:$W$1,$D32-1,0),MATCH(S$4,'Adverse (r-g)'!$D$10:$W$10,0))</f>
        <v>6.1772404999999999</v>
      </c>
      <c r="T32" s="332">
        <f ca="1">INDEX(OFFSET('Adverse (r-g)'!$D$1:$W$1,$D32-1,0),MATCH(T$4,'Adverse (r-g)'!$D$10:$W$10,0))</f>
        <v>5.9903440000000003</v>
      </c>
      <c r="U32" s="332">
        <f ca="1">INDEX(OFFSET('Adverse (r-g)'!$D$1:$W$1,$D32-1,0),MATCH(U$4,'Adverse (r-g)'!$D$10:$W$10,0))</f>
        <v>5.8034475000000008</v>
      </c>
      <c r="V32" s="332">
        <f ca="1">INDEX(OFFSET('Adverse (r-g)'!$D$1:$W$1,$D32-1,0),MATCH(V$4,'Adverse (r-g)'!$D$10:$W$10,0))</f>
        <v>5.6165510000000003</v>
      </c>
      <c r="W32" s="332">
        <f ca="1">INDEX(OFFSET('Adverse (r-g)'!$D$1:$W$1,$D32-1,0),MATCH(W$4,'Adverse (r-g)'!$D$10:$W$10,0))</f>
        <v>5.4296544999999998</v>
      </c>
      <c r="X32" s="332">
        <f ca="1">INDEX(OFFSET('Adverse (r-g)'!$D$1:$W$1,$D32-1,0),MATCH(X$4,'Adverse (r-g)'!$D$10:$W$10,0))</f>
        <v>5.2427580000000003</v>
      </c>
      <c r="Y32" s="271"/>
    </row>
    <row r="33" spans="1:25" x14ac:dyDescent="0.2">
      <c r="A33" s="271"/>
      <c r="B33" s="339">
        <v>9</v>
      </c>
      <c r="C33" s="335" t="s">
        <v>231</v>
      </c>
      <c r="D33" s="344">
        <v>23</v>
      </c>
      <c r="E33" s="345" t="s">
        <v>230</v>
      </c>
      <c r="F33" s="332">
        <f ca="1">INDEX(OFFSET('Adverse (r-g)'!$D$1:$W$1,$D33-1,0),MATCH(F$4,'Adverse (r-g)'!$D$10:$W$10,0))</f>
        <v>-0.90768589999999927</v>
      </c>
      <c r="G33" s="332">
        <f ca="1">INDEX(OFFSET('Adverse (r-g)'!$D$1:$W$1,$D33-1,0),MATCH(G$4,'Adverse (r-g)'!$D$10:$W$10,0))</f>
        <v>2.4166649999999956</v>
      </c>
      <c r="H33" s="332">
        <f ca="1">INDEX(OFFSET('Adverse (r-g)'!$D$1:$W$1,$D33-1,0),MATCH(H$4,'Adverse (r-g)'!$D$10:$W$10,0))</f>
        <v>2.7841180000000021</v>
      </c>
      <c r="I33" s="332">
        <f ca="1">INDEX(OFFSET('Adverse (r-g)'!$D$1:$W$1,$D33-1,0),MATCH(I$4,'Adverse (r-g)'!$D$10:$W$10,0))</f>
        <v>2.0792775364796734</v>
      </c>
      <c r="J33" s="332">
        <f ca="1">INDEX(OFFSET('Adverse (r-g)'!$D$1:$W$1,$D33-1,0),MATCH(J$4,'Adverse (r-g)'!$D$10:$W$10,0))</f>
        <v>2.0016404093588402</v>
      </c>
      <c r="K33" s="332">
        <f ca="1">INDEX(OFFSET('Adverse (r-g)'!$D$1:$W$1,$D33-1,0),MATCH(K$4,'Adverse (r-g)'!$D$10:$W$10,0))</f>
        <v>1.9479080570616647</v>
      </c>
      <c r="L33" s="332">
        <f ca="1">INDEX(OFFSET('Adverse (r-g)'!$D$1:$W$1,$D33-1,0),MATCH(L$4,'Adverse (r-g)'!$D$10:$W$10,0))</f>
        <v>1.9948488408403797</v>
      </c>
      <c r="M33" s="332">
        <f ca="1">INDEX(OFFSET('Adverse (r-g)'!$D$1:$W$1,$D33-1,0),MATCH(M$4,'Adverse (r-g)'!$D$10:$W$10,0))</f>
        <v>1.9980071623159068</v>
      </c>
      <c r="N33" s="332">
        <f ca="1">INDEX(OFFSET('Adverse (r-g)'!$D$1:$W$1,$D33-1,0),MATCH(N$4,'Adverse (r-g)'!$D$10:$W$10,0))</f>
        <v>1.9600195092941641</v>
      </c>
      <c r="O33" s="332">
        <f ca="1">INDEX(OFFSET('Adverse (r-g)'!$D$1:$W$1,$D33-1,0),MATCH(O$4,'Adverse (r-g)'!$D$10:$W$10,0))</f>
        <v>1.3975269999999984</v>
      </c>
      <c r="P33" s="332">
        <f ca="1">INDEX(OFFSET('Adverse (r-g)'!$D$1:$W$1,$D33-1,0),MATCH(P$4,'Adverse (r-g)'!$D$10:$W$10,0))</f>
        <v>1.3826880000000097</v>
      </c>
      <c r="Q33" s="332">
        <f ca="1">INDEX(OFFSET('Adverse (r-g)'!$D$1:$W$1,$D33-1,0),MATCH(Q$4,'Adverse (r-g)'!$D$10:$W$10,0))</f>
        <v>1.3447149999999963</v>
      </c>
      <c r="R33" s="332">
        <f ca="1">INDEX(OFFSET('Adverse (r-g)'!$D$1:$W$1,$D33-1,0),MATCH(R$4,'Adverse (r-g)'!$D$10:$W$10,0))</f>
        <v>1.3067390000000012</v>
      </c>
      <c r="S33" s="332">
        <f ca="1">INDEX(OFFSET('Adverse (r-g)'!$D$1:$W$1,$D33-1,0),MATCH(S$4,'Adverse (r-g)'!$D$10:$W$10,0))</f>
        <v>1.2687700000000079</v>
      </c>
      <c r="T33" s="332">
        <f ca="1">INDEX(OFFSET('Adverse (r-g)'!$D$1:$W$1,$D33-1,0),MATCH(T$4,'Adverse (r-g)'!$D$10:$W$10,0))</f>
        <v>1.2610830000000073</v>
      </c>
      <c r="U33" s="332">
        <f ca="1">INDEX(OFFSET('Adverse (r-g)'!$D$1:$W$1,$D33-1,0),MATCH(U$4,'Adverse (r-g)'!$D$10:$W$10,0))</f>
        <v>1.2076500000000046</v>
      </c>
      <c r="V33" s="332">
        <f ca="1">INDEX(OFFSET('Adverse (r-g)'!$D$1:$W$1,$D33-1,0),MATCH(V$4,'Adverse (r-g)'!$D$10:$W$10,0))</f>
        <v>1.1529679999999987</v>
      </c>
      <c r="W33" s="332">
        <f ca="1">INDEX(OFFSET('Adverse (r-g)'!$D$1:$W$1,$D33-1,0),MATCH(W$4,'Adverse (r-g)'!$D$10:$W$10,0))</f>
        <v>1.1187590000000025</v>
      </c>
      <c r="X33" s="332">
        <f ca="1">INDEX(OFFSET('Adverse (r-g)'!$D$1:$W$1,$D33-1,0),MATCH(X$4,'Adverse (r-g)'!$D$10:$W$10,0))</f>
        <v>1.1011330000000097</v>
      </c>
      <c r="Y33" s="271"/>
    </row>
    <row r="34" spans="1:25" x14ac:dyDescent="0.2">
      <c r="A34" s="271"/>
      <c r="B34" s="339">
        <v>10</v>
      </c>
      <c r="C34" s="347" t="s">
        <v>62</v>
      </c>
      <c r="D34" s="344">
        <v>27</v>
      </c>
      <c r="E34" s="345" t="s">
        <v>230</v>
      </c>
      <c r="F34" s="332">
        <f ca="1">(INDEX(OFFSET('Adverse (r-g)'!$D$1:$W$1,$D34-1,0),MATCH(F$4,'Adverse (r-g)'!$D$10:$W$10,0))/INDEX(OFFSET('Adverse (r-g)'!$D$1:$W$1,$D34-1,0),MATCH(E$4,'Adverse (r-g)'!$D$10:$W$10,0))-1)*100</f>
        <v>2.1468510000000052</v>
      </c>
      <c r="G34" s="332">
        <f ca="1">(INDEX(OFFSET('Adverse (r-g)'!$D$1:$W$1,$D34-1,0),MATCH(G$4,'Adverse (r-g)'!$D$10:$W$10,0))/INDEX(OFFSET('Adverse (r-g)'!$D$1:$W$1,$D34-1,0),MATCH(F$4,'Adverse (r-g)'!$D$10:$W$10,0))-1)*100</f>
        <v>2.2002089999999974</v>
      </c>
      <c r="H34" s="332">
        <f ca="1">(INDEX(OFFSET('Adverse (r-g)'!$D$1:$W$1,$D34-1,0),MATCH(H$4,'Adverse (r-g)'!$D$10:$W$10,0))/INDEX(OFFSET('Adverse (r-g)'!$D$1:$W$1,$D34-1,0),MATCH(G$4,'Adverse (r-g)'!$D$10:$W$10,0))-1)*100</f>
        <v>2.4702640000000109</v>
      </c>
      <c r="I34" s="332">
        <f ca="1">(INDEX(OFFSET('Adverse (r-g)'!$D$1:$W$1,$D34-1,0),MATCH(I$4,'Adverse (r-g)'!$D$10:$W$10,0))/INDEX(OFFSET('Adverse (r-g)'!$D$1:$W$1,$D34-1,0),MATCH(H$4,'Adverse (r-g)'!$D$10:$W$10,0))-1)*100</f>
        <v>2.2591220000000023</v>
      </c>
      <c r="J34" s="332">
        <f ca="1">(INDEX(OFFSET('Adverse (r-g)'!$D$1:$W$1,$D34-1,0),MATCH(J$4,'Adverse (r-g)'!$D$10:$W$10,0))/INDEX(OFFSET('Adverse (r-g)'!$D$1:$W$1,$D34-1,0),MATCH(I$4,'Adverse (r-g)'!$D$10:$W$10,0))-1)*100</f>
        <v>2.121382000000005</v>
      </c>
      <c r="K34" s="332">
        <f ca="1">(INDEX(OFFSET('Adverse (r-g)'!$D$1:$W$1,$D34-1,0),MATCH(K$4,'Adverse (r-g)'!$D$10:$W$10,0))/INDEX(OFFSET('Adverse (r-g)'!$D$1:$W$1,$D34-1,0),MATCH(J$4,'Adverse (r-g)'!$D$10:$W$10,0))-1)*100</f>
        <v>2.0276299999999914</v>
      </c>
      <c r="L34" s="332">
        <f ca="1">(INDEX(OFFSET('Adverse (r-g)'!$D$1:$W$1,$D34-1,0),MATCH(L$4,'Adverse (r-g)'!$D$10:$W$10,0))/INDEX(OFFSET('Adverse (r-g)'!$D$1:$W$1,$D34-1,0),MATCH(K$4,'Adverse (r-g)'!$D$10:$W$10,0))-1)*100</f>
        <v>1.5547010000000139</v>
      </c>
      <c r="M34" s="332">
        <f ca="1">(INDEX(OFFSET('Adverse (r-g)'!$D$1:$W$1,$D34-1,0),MATCH(M$4,'Adverse (r-g)'!$D$10:$W$10,0))/INDEX(OFFSET('Adverse (r-g)'!$D$1:$W$1,$D34-1,0),MATCH(L$4,'Adverse (r-g)'!$D$10:$W$10,0))-1)*100</f>
        <v>1.5597370000000055</v>
      </c>
      <c r="N34" s="332">
        <f ca="1">(INDEX(OFFSET('Adverse (r-g)'!$D$1:$W$1,$D34-1,0),MATCH(N$4,'Adverse (r-g)'!$D$10:$W$10,0))/INDEX(OFFSET('Adverse (r-g)'!$D$1:$W$1,$D34-1,0),MATCH(M$4,'Adverse (r-g)'!$D$10:$W$10,0))-1)*100</f>
        <v>1.5237870000000209</v>
      </c>
      <c r="O34" s="332">
        <f ca="1">(INDEX(OFFSET('Adverse (r-g)'!$D$1:$W$1,$D34-1,0),MATCH(O$4,'Adverse (r-g)'!$D$10:$W$10,0))/INDEX(OFFSET('Adverse (r-g)'!$D$1:$W$1,$D34-1,0),MATCH(N$4,'Adverse (r-g)'!$D$10:$W$10,0))-1)*100</f>
        <v>1.3975260000000045</v>
      </c>
      <c r="P34" s="332">
        <f ca="1">(INDEX(OFFSET('Adverse (r-g)'!$D$1:$W$1,$D34-1,0),MATCH(P$4,'Adverse (r-g)'!$D$10:$W$10,0))/INDEX(OFFSET('Adverse (r-g)'!$D$1:$W$1,$D34-1,0),MATCH(O$4,'Adverse (r-g)'!$D$10:$W$10,0))-1)*100</f>
        <v>1.3826850000000057</v>
      </c>
      <c r="Q34" s="332">
        <f ca="1">(INDEX(OFFSET('Adverse (r-g)'!$D$1:$W$1,$D34-1,0),MATCH(Q$4,'Adverse (r-g)'!$D$10:$W$10,0))/INDEX(OFFSET('Adverse (r-g)'!$D$1:$W$1,$D34-1,0),MATCH(P$4,'Adverse (r-g)'!$D$10:$W$10,0))-1)*100</f>
        <v>1.3447130000000085</v>
      </c>
      <c r="R34" s="332">
        <f ca="1">(INDEX(OFFSET('Adverse (r-g)'!$D$1:$W$1,$D34-1,0),MATCH(R$4,'Adverse (r-g)'!$D$10:$W$10,0))/INDEX(OFFSET('Adverse (r-g)'!$D$1:$W$1,$D34-1,0),MATCH(Q$4,'Adverse (r-g)'!$D$10:$W$10,0))-1)*100</f>
        <v>1.3067410000000113</v>
      </c>
      <c r="S34" s="332">
        <f ca="1">(INDEX(OFFSET('Adverse (r-g)'!$D$1:$W$1,$D34-1,0),MATCH(S$4,'Adverse (r-g)'!$D$10:$W$10,0))/INDEX(OFFSET('Adverse (r-g)'!$D$1:$W$1,$D34-1,0),MATCH(R$4,'Adverse (r-g)'!$D$10:$W$10,0))-1)*100</f>
        <v>1.268769000000014</v>
      </c>
      <c r="T34" s="332">
        <f ca="1">(INDEX(OFFSET('Adverse (r-g)'!$D$1:$W$1,$D34-1,0),MATCH(T$4,'Adverse (r-g)'!$D$10:$W$10,0))/INDEX(OFFSET('Adverse (r-g)'!$D$1:$W$1,$D34-1,0),MATCH(S$4,'Adverse (r-g)'!$D$10:$W$10,0))-1)*100</f>
        <v>1.2610860000000113</v>
      </c>
      <c r="U34" s="332">
        <f ca="1">(INDEX(OFFSET('Adverse (r-g)'!$D$1:$W$1,$D34-1,0),MATCH(U$4,'Adverse (r-g)'!$D$10:$W$10,0))/INDEX(OFFSET('Adverse (r-g)'!$D$1:$W$1,$D34-1,0),MATCH(T$4,'Adverse (r-g)'!$D$10:$W$10,0))-1)*100</f>
        <v>1.2076500000000046</v>
      </c>
      <c r="V34" s="332">
        <f ca="1">(INDEX(OFFSET('Adverse (r-g)'!$D$1:$W$1,$D34-1,0),MATCH(V$4,'Adverse (r-g)'!$D$10:$W$10,0))/INDEX(OFFSET('Adverse (r-g)'!$D$1:$W$1,$D34-1,0),MATCH(U$4,'Adverse (r-g)'!$D$10:$W$10,0))-1)*100</f>
        <v>1.1529670000000047</v>
      </c>
      <c r="W34" s="332">
        <f ca="1">(INDEX(OFFSET('Adverse (r-g)'!$D$1:$W$1,$D34-1,0),MATCH(W$4,'Adverse (r-g)'!$D$10:$W$10,0))/INDEX(OFFSET('Adverse (r-g)'!$D$1:$W$1,$D34-1,0),MATCH(V$4,'Adverse (r-g)'!$D$10:$W$10,0))-1)*100</f>
        <v>1.1187560000000207</v>
      </c>
      <c r="X34" s="332">
        <f ca="1">(INDEX(OFFSET('Adverse (r-g)'!$D$1:$W$1,$D34-1,0),MATCH(X$4,'Adverse (r-g)'!$D$10:$W$10,0))/INDEX(OFFSET('Adverse (r-g)'!$D$1:$W$1,$D34-1,0),MATCH(W$4,'Adverse (r-g)'!$D$10:$W$10,0))-1)*100</f>
        <v>1.1011320000000158</v>
      </c>
      <c r="Y34" s="271"/>
    </row>
    <row r="35" spans="1:25" x14ac:dyDescent="0.2">
      <c r="A35" s="271"/>
      <c r="B35" s="339"/>
      <c r="C35" s="337" t="s">
        <v>236</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237</v>
      </c>
      <c r="D36" s="356" t="s">
        <v>241</v>
      </c>
      <c r="E36" s="345" t="s">
        <v>227</v>
      </c>
      <c r="F36" s="332">
        <f ca="1">IF(ISERROR(I36),"&lt;10",IF(I36=5,"90&lt;",V36+(H36-W36)*$T$36))</f>
        <v>71.851970985203693</v>
      </c>
      <c r="G36" s="362"/>
      <c r="H36" s="352">
        <f>INDEX(Stochastic!$C$11:$W$11,MATCH('Input data'!$C$6,Stochastic!$C$10:$W$10,0))</f>
        <v>70.351529341469288</v>
      </c>
      <c r="I36" s="353">
        <f ca="1">MATCH($H$36,OFFSET(Stochastic!$F$14:$F$18,0,'Input data'!$C$6-'Input data'!$C$5+5),1)</f>
        <v>4</v>
      </c>
      <c r="J36" s="353" t="str" cm="1">
        <f t="array" aca="1" ref="J36" ca="1">MID(INDEX(Stochastic!$B$14:$B$18,$I$36),2,2)</f>
        <v>70</v>
      </c>
      <c r="K36" s="352" cm="1">
        <f t="array" aca="1" ref="K36" ca="1">INDEX(OFFSET(Stochastic!$F$14:$F$18,0,'Input data'!$C$6-'Input data'!$C$5+5),$I$36)</f>
        <v>69.127834906805901</v>
      </c>
      <c r="L36" s="353" t="str" cm="1">
        <f t="array" aca="1" ref="L36" ca="1">MID(INDEX(Stochastic!$B$14:$B$18,$I$36+1),2,2)</f>
        <v>90</v>
      </c>
      <c r="M36" s="352" cm="1">
        <f t="array" aca="1" ref="M36" ca="1">INDEX(OFFSET(Stochastic!$F$14:$F$18,0,'Input data'!$C$6-'Input data'!$C$5+5),$I$36+1)</f>
        <v>82.342884650458245</v>
      </c>
      <c r="N36" s="352"/>
      <c r="O36" s="353">
        <f ca="1">IF(ISERROR($I$36),1,4)</f>
        <v>4</v>
      </c>
      <c r="P36" s="353">
        <f ca="1">IF(ISERROR($I$36),10,70)</f>
        <v>70</v>
      </c>
      <c r="Q36" s="352" cm="1">
        <f t="array" aca="1" ref="Q36" ca="1">INDEX(OFFSET(Stochastic!$F$14:$F$18,0,'Input data'!$C$6-'Input data'!$C$5+5),$O$36)</f>
        <v>69.127834906805901</v>
      </c>
      <c r="R36" s="353">
        <f ca="1">P36+20</f>
        <v>90</v>
      </c>
      <c r="S36" s="352" cm="1">
        <f t="array" aca="1" ref="S36" ca="1">INDEX(OFFSET(Stochastic!$F$14:$F$18,0,'Input data'!$C$6-'Input data'!$C$5+5),$O$36+1)</f>
        <v>82.342884650458245</v>
      </c>
      <c r="T36" s="357">
        <f ca="1">IF($I$36=5,20/(S36-Q36),IF(ISERROR($I$36),20/(S36-Q36),20/(M36-K36)))</f>
        <v>1.5134260095847696</v>
      </c>
      <c r="U36" s="109"/>
      <c r="V36" s="363" t="str">
        <f ca="1">IFERROR($J$36,10)</f>
        <v>70</v>
      </c>
      <c r="W36" s="364">
        <f ca="1">IF($V$36=10,$Q$36,$K$36)</f>
        <v>69.127834906805901</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238</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220</v>
      </c>
      <c r="D41" s="344">
        <v>56</v>
      </c>
      <c r="E41" s="345" t="s">
        <v>221</v>
      </c>
      <c r="F41" s="332">
        <f ca="1">INDEX(OFFSET('Baseline NFPC'!$D$1:$W$1,$D41-1,0),MATCH(F$4,'Baseline NFPC'!$D$10:$W$10,0))</f>
        <v>73.520357526734585</v>
      </c>
      <c r="G41" s="332">
        <f ca="1">INDEX(OFFSET('Baseline NFPC'!$D$1:$W$1,$D41-1,0),MATCH(G$4,'Baseline NFPC'!$D$10:$W$10,0))</f>
        <v>74.287964673525892</v>
      </c>
      <c r="H41" s="332">
        <f ca="1">INDEX(OFFSET('Baseline NFPC'!$D$1:$W$1,$D41-1,0),MATCH(H$4,'Baseline NFPC'!$D$10:$W$10,0))</f>
        <v>73.830404245193094</v>
      </c>
      <c r="I41" s="332">
        <f ca="1">INDEX(OFFSET('Baseline NFPC'!$D$1:$W$1,$D41-1,0),MATCH(I$4,'Baseline NFPC'!$D$10:$W$10,0))</f>
        <v>73.662350946452165</v>
      </c>
      <c r="J41" s="332">
        <f ca="1">INDEX(OFFSET('Baseline NFPC'!$D$1:$W$1,$D41-1,0),MATCH(J$4,'Baseline NFPC'!$D$10:$W$10,0))</f>
        <v>73.530611343219988</v>
      </c>
      <c r="K41" s="332">
        <f ca="1">INDEX(OFFSET('Baseline NFPC'!$D$1:$W$1,$D41-1,0),MATCH(K$4,'Baseline NFPC'!$D$10:$W$10,0))</f>
        <v>73.599576624501026</v>
      </c>
      <c r="L41" s="332">
        <f ca="1">INDEX(OFFSET('Baseline NFPC'!$D$1:$W$1,$D41-1,0),MATCH(L$4,'Baseline NFPC'!$D$10:$W$10,0))</f>
        <v>73.826808567005486</v>
      </c>
      <c r="M41" s="332">
        <f ca="1">INDEX(OFFSET('Baseline NFPC'!$D$1:$W$1,$D41-1,0),MATCH(M$4,'Baseline NFPC'!$D$10:$W$10,0))</f>
        <v>74.178589043683061</v>
      </c>
      <c r="N41" s="332">
        <f ca="1">INDEX(OFFSET('Baseline NFPC'!$D$1:$W$1,$D41-1,0),MATCH(N$4,'Baseline NFPC'!$D$10:$W$10,0))</f>
        <v>74.713566943665526</v>
      </c>
      <c r="O41" s="332">
        <f ca="1">INDEX(OFFSET('Baseline NFPC'!$D$1:$W$1,$D41-1,0),MATCH(O$4,'Baseline NFPC'!$D$10:$W$10,0))</f>
        <v>75.514428996767464</v>
      </c>
      <c r="P41" s="332">
        <f ca="1">INDEX(OFFSET('Baseline NFPC'!$D$1:$W$1,$D41-1,0),MATCH(P$4,'Baseline NFPC'!$D$10:$W$10,0))</f>
        <v>76.524583633827703</v>
      </c>
      <c r="Q41" s="332">
        <f ca="1">INDEX(OFFSET('Baseline NFPC'!$D$1:$W$1,$D41-1,0),MATCH(Q$4,'Baseline NFPC'!$D$10:$W$10,0))</f>
        <v>77.728561464200666</v>
      </c>
      <c r="R41" s="332">
        <f ca="1">INDEX(OFFSET('Baseline NFPC'!$D$1:$W$1,$D41-1,0),MATCH(R$4,'Baseline NFPC'!$D$10:$W$10,0))</f>
        <v>79.15527037931119</v>
      </c>
      <c r="S41" s="332">
        <f ca="1">INDEX(OFFSET('Baseline NFPC'!$D$1:$W$1,$D41-1,0),MATCH(S$4,'Baseline NFPC'!$D$10:$W$10,0))</f>
        <v>80.827539922261138</v>
      </c>
      <c r="T41" s="332">
        <f ca="1">INDEX(OFFSET('Baseline NFPC'!$D$1:$W$1,$D41-1,0),MATCH(T$4,'Baseline NFPC'!$D$10:$W$10,0))</f>
        <v>82.723617493350417</v>
      </c>
      <c r="U41" s="332">
        <f ca="1">INDEX(OFFSET('Baseline NFPC'!$D$1:$W$1,$D41-1,0),MATCH(U$4,'Baseline NFPC'!$D$10:$W$10,0))</f>
        <v>84.883295804490885</v>
      </c>
      <c r="V41" s="332">
        <f ca="1">INDEX(OFFSET('Baseline NFPC'!$D$1:$W$1,$D41-1,0),MATCH(V$4,'Baseline NFPC'!$D$10:$W$10,0))</f>
        <v>87.319463306804025</v>
      </c>
      <c r="W41" s="332">
        <f ca="1">INDEX(OFFSET('Baseline NFPC'!$D$1:$W$1,$D41-1,0),MATCH(W$4,'Baseline NFPC'!$D$10:$W$10,0))</f>
        <v>90.02778108911869</v>
      </c>
      <c r="X41" s="332">
        <f ca="1">INDEX(OFFSET('Baseline NFPC'!$D$1:$W$1,$D41-1,0),MATCH(X$4,'Baseline NFPC'!$D$10:$W$10,0))</f>
        <v>93.015979204813164</v>
      </c>
      <c r="Y41" s="271"/>
    </row>
    <row r="42" spans="1:25" x14ac:dyDescent="0.2">
      <c r="A42" s="271"/>
      <c r="B42" s="339">
        <v>2</v>
      </c>
      <c r="C42" s="343" t="s">
        <v>222</v>
      </c>
      <c r="D42" s="344">
        <v>76</v>
      </c>
      <c r="E42" s="345" t="s">
        <v>221</v>
      </c>
      <c r="F42" s="332">
        <f ca="1">INDEX(OFFSET('Baseline NFPC'!$D$1:$W$1,$D42-1,0),MATCH(F$4,'Baseline NFPC'!$D$10:$W$10,0))</f>
        <v>-6.6919850786797799</v>
      </c>
      <c r="G42" s="332">
        <f ca="1">INDEX(OFFSET('Baseline NFPC'!$D$1:$W$1,$D42-1,0),MATCH(G$4,'Baseline NFPC'!$D$10:$W$10,0))</f>
        <v>-5.4353291790997966</v>
      </c>
      <c r="H42" s="332">
        <f ca="1">INDEX(OFFSET('Baseline NFPC'!$D$1:$W$1,$D42-1,0),MATCH(H$4,'Baseline NFPC'!$D$10:$W$10,0))</f>
        <v>-4.1978783004559723</v>
      </c>
      <c r="I42" s="332">
        <f ca="1">INDEX(OFFSET('Baseline NFPC'!$D$1:$W$1,$D42-1,0),MATCH(I$4,'Baseline NFPC'!$D$10:$W$10,0))</f>
        <v>-4.1588281772854447</v>
      </c>
      <c r="J42" s="332">
        <f ca="1">INDEX(OFFSET('Baseline NFPC'!$D$1:$W$1,$D42-1,0),MATCH(J$4,'Baseline NFPC'!$D$10:$W$10,0))</f>
        <v>-4.0761239583200979</v>
      </c>
      <c r="K42" s="332">
        <f ca="1">INDEX(OFFSET('Baseline NFPC'!$D$1:$W$1,$D42-1,0),MATCH(K$4,'Baseline NFPC'!$D$10:$W$10,0))</f>
        <v>-4.0881889426500155</v>
      </c>
      <c r="L42" s="332">
        <f ca="1">INDEX(OFFSET('Baseline NFPC'!$D$1:$W$1,$D42-1,0),MATCH(L$4,'Baseline NFPC'!$D$10:$W$10,0))</f>
        <v>-4.151157620342433</v>
      </c>
      <c r="M42" s="332">
        <f ca="1">INDEX(OFFSET('Baseline NFPC'!$D$1:$W$1,$D42-1,0),MATCH(M$4,'Baseline NFPC'!$D$10:$W$10,0))</f>
        <v>-4.241438365284365</v>
      </c>
      <c r="N42" s="332">
        <f ca="1">INDEX(OFFSET('Baseline NFPC'!$D$1:$W$1,$D42-1,0),MATCH(N$4,'Baseline NFPC'!$D$10:$W$10,0))</f>
        <v>-4.3682529793938389</v>
      </c>
      <c r="O42" s="332">
        <f ca="1">INDEX(OFFSET('Baseline NFPC'!$D$1:$W$1,$D42-1,0),MATCH(O$4,'Baseline NFPC'!$D$10:$W$10,0))</f>
        <v>-4.5233392838832769</v>
      </c>
      <c r="P42" s="332">
        <f ca="1">INDEX(OFFSET('Baseline NFPC'!$D$1:$W$1,$D42-1,0),MATCH(P$4,'Baseline NFPC'!$D$10:$W$10,0))</f>
        <v>-4.7108063954858617</v>
      </c>
      <c r="Q42" s="332">
        <f ca="1">INDEX(OFFSET('Baseline NFPC'!$D$1:$W$1,$D42-1,0),MATCH(Q$4,'Baseline NFPC'!$D$10:$W$10,0))</f>
        <v>-4.9195918565556509</v>
      </c>
      <c r="R42" s="332">
        <f ca="1">INDEX(OFFSET('Baseline NFPC'!$D$1:$W$1,$D42-1,0),MATCH(R$4,'Baseline NFPC'!$D$10:$W$10,0))</f>
        <v>-5.1656669122638554</v>
      </c>
      <c r="S42" s="332">
        <f ca="1">INDEX(OFFSET('Baseline NFPC'!$D$1:$W$1,$D42-1,0),MATCH(S$4,'Baseline NFPC'!$D$10:$W$10,0))</f>
        <v>-5.4440739897340418</v>
      </c>
      <c r="T42" s="332">
        <f ca="1">INDEX(OFFSET('Baseline NFPC'!$D$1:$W$1,$D42-1,0),MATCH(T$4,'Baseline NFPC'!$D$10:$W$10,0))</f>
        <v>-5.7339172075705704</v>
      </c>
      <c r="U42" s="332">
        <f ca="1">INDEX(OFFSET('Baseline NFPC'!$D$1:$W$1,$D42-1,0),MATCH(U$4,'Baseline NFPC'!$D$10:$W$10,0))</f>
        <v>-6.0381266246982133</v>
      </c>
      <c r="V42" s="332">
        <f ca="1">INDEX(OFFSET('Baseline NFPC'!$D$1:$W$1,$D42-1,0),MATCH(V$4,'Baseline NFPC'!$D$10:$W$10,0))</f>
        <v>-6.3641106122957689</v>
      </c>
      <c r="W42" s="332">
        <f ca="1">INDEX(OFFSET('Baseline NFPC'!$D$1:$W$1,$D42-1,0),MATCH(W$4,'Baseline NFPC'!$D$10:$W$10,0))</f>
        <v>-6.712477417797202</v>
      </c>
      <c r="X42" s="332">
        <f ca="1">INDEX(OFFSET('Baseline NFPC'!$D$1:$W$1,$D42-1,0),MATCH(X$4,'Baseline NFPC'!$D$10:$W$10,0))</f>
        <v>-7.092901972348983</v>
      </c>
      <c r="Y42" s="271"/>
    </row>
    <row r="43" spans="1:25" x14ac:dyDescent="0.2">
      <c r="A43" s="271"/>
      <c r="B43" s="339">
        <v>3</v>
      </c>
      <c r="C43" s="343" t="s">
        <v>40</v>
      </c>
      <c r="D43" s="344">
        <v>12</v>
      </c>
      <c r="E43" s="345" t="s">
        <v>223</v>
      </c>
      <c r="F43" s="332">
        <f ca="1">INDEX(OFFSET('Baseline NFPC'!$D$1:$W$1,$D43-1,0),MATCH(F$4,'Baseline NFPC'!$D$10:$W$10,0))</f>
        <v>-1.336916</v>
      </c>
      <c r="G43" s="332">
        <f ca="1">INDEX(OFFSET('Baseline NFPC'!$D$1:$W$1,$D43-1,0),MATCH(G$4,'Baseline NFPC'!$D$10:$W$10,0))</f>
        <v>3.4885699999999999E-2</v>
      </c>
      <c r="H43" s="332">
        <f ca="1">INDEX(OFFSET('Baseline NFPC'!$D$1:$W$1,$D43-1,0),MATCH(H$4,'Baseline NFPC'!$D$10:$W$10,0))</f>
        <v>3.4885699999999999E-2</v>
      </c>
      <c r="I43" s="332">
        <f ca="1">INDEX(OFFSET('Baseline NFPC'!$D$1:$W$1,$D43-1,0),MATCH(I$4,'Baseline NFPC'!$D$10:$W$10,0))</f>
        <v>3.4885699999999999E-2</v>
      </c>
      <c r="J43" s="332">
        <f ca="1">INDEX(OFFSET('Baseline NFPC'!$D$1:$W$1,$D43-1,0),MATCH(J$4,'Baseline NFPC'!$D$10:$W$10,0))</f>
        <v>3.4885699999999999E-2</v>
      </c>
      <c r="K43" s="332">
        <f ca="1">INDEX(OFFSET('Baseline NFPC'!$D$1:$W$1,$D43-1,0),MATCH(K$4,'Baseline NFPC'!$D$10:$W$10,0))</f>
        <v>3.4885699999999999E-2</v>
      </c>
      <c r="L43" s="332">
        <f ca="1">INDEX(OFFSET('Baseline NFPC'!$D$1:$W$1,$D43-1,0),MATCH(L$4,'Baseline NFPC'!$D$10:$W$10,0))</f>
        <v>3.4885699999999999E-2</v>
      </c>
      <c r="M43" s="332">
        <f ca="1">INDEX(OFFSET('Baseline NFPC'!$D$1:$W$1,$D43-1,0),MATCH(M$4,'Baseline NFPC'!$D$10:$W$10,0))</f>
        <v>3.4885699999999999E-2</v>
      </c>
      <c r="N43" s="332">
        <f ca="1">INDEX(OFFSET('Baseline NFPC'!$D$1:$W$1,$D43-1,0),MATCH(N$4,'Baseline NFPC'!$D$10:$W$10,0))</f>
        <v>3.4885699999999999E-2</v>
      </c>
      <c r="O43" s="332">
        <f ca="1">INDEX(OFFSET('Baseline NFPC'!$D$1:$W$1,$D43-1,0),MATCH(O$4,'Baseline NFPC'!$D$10:$W$10,0))</f>
        <v>3.4885699999999999E-2</v>
      </c>
      <c r="P43" s="332">
        <f ca="1">INDEX(OFFSET('Baseline NFPC'!$D$1:$W$1,$D43-1,0),MATCH(P$4,'Baseline NFPC'!$D$10:$W$10,0))</f>
        <v>3.4885699999999999E-2</v>
      </c>
      <c r="Q43" s="332">
        <f ca="1">INDEX(OFFSET('Baseline NFPC'!$D$1:$W$1,$D43-1,0),MATCH(Q$4,'Baseline NFPC'!$D$10:$W$10,0))</f>
        <v>3.4885699999999999E-2</v>
      </c>
      <c r="R43" s="332">
        <f ca="1">INDEX(OFFSET('Baseline NFPC'!$D$1:$W$1,$D43-1,0),MATCH(R$4,'Baseline NFPC'!$D$10:$W$10,0))</f>
        <v>3.4885699999999999E-2</v>
      </c>
      <c r="S43" s="332">
        <f ca="1">INDEX(OFFSET('Baseline NFPC'!$D$1:$W$1,$D43-1,0),MATCH(S$4,'Baseline NFPC'!$D$10:$W$10,0))</f>
        <v>3.4885699999999999E-2</v>
      </c>
      <c r="T43" s="332">
        <f ca="1">INDEX(OFFSET('Baseline NFPC'!$D$1:$W$1,$D43-1,0),MATCH(T$4,'Baseline NFPC'!$D$10:$W$10,0))</f>
        <v>3.4885699999999999E-2</v>
      </c>
      <c r="U43" s="332">
        <f ca="1">INDEX(OFFSET('Baseline NFPC'!$D$1:$W$1,$D43-1,0),MATCH(U$4,'Baseline NFPC'!$D$10:$W$10,0))</f>
        <v>3.4885699999999999E-2</v>
      </c>
      <c r="V43" s="332">
        <f ca="1">INDEX(OFFSET('Baseline NFPC'!$D$1:$W$1,$D43-1,0),MATCH(V$4,'Baseline NFPC'!$D$10:$W$10,0))</f>
        <v>3.4885699999999999E-2</v>
      </c>
      <c r="W43" s="332">
        <f ca="1">INDEX(OFFSET('Baseline NFPC'!$D$1:$W$1,$D43-1,0),MATCH(W$4,'Baseline NFPC'!$D$10:$W$10,0))</f>
        <v>3.4885699999999999E-2</v>
      </c>
      <c r="X43" s="332">
        <f ca="1">INDEX(OFFSET('Baseline NFPC'!$D$1:$W$1,$D43-1,0),MATCH(X$4,'Baseline NFPC'!$D$10:$W$10,0))</f>
        <v>3.4885699999999999E-2</v>
      </c>
      <c r="Y43" s="271"/>
    </row>
    <row r="44" spans="1:25" x14ac:dyDescent="0.2">
      <c r="A44" s="271"/>
      <c r="B44" s="339">
        <v>4</v>
      </c>
      <c r="C44" s="343" t="s">
        <v>224</v>
      </c>
      <c r="D44" s="344">
        <v>61</v>
      </c>
      <c r="E44" s="345" t="s">
        <v>223</v>
      </c>
      <c r="F44" s="332">
        <f ca="1">INDEX(OFFSET('Baseline NFPC'!$D$1:$W$1,$D44-1,0),MATCH(F$4,'Baseline NFPC'!$D$10:$W$10,0))</f>
        <v>0.64662902020442647</v>
      </c>
      <c r="G44" s="332">
        <f ca="1">INDEX(OFFSET('Baseline NFPC'!$D$1:$W$1,$D44-1,0),MATCH(G$4,'Baseline NFPC'!$D$10:$W$10,0))</f>
        <v>0.55205494679130895</v>
      </c>
      <c r="H44" s="332">
        <f ca="1">INDEX(OFFSET('Baseline NFPC'!$D$1:$W$1,$D44-1,0),MATCH(H$4,'Baseline NFPC'!$D$10:$W$10,0))</f>
        <v>0.19883487166720143</v>
      </c>
      <c r="I44" s="332">
        <f ca="1">INDEX(OFFSET('Baseline NFPC'!$D$1:$W$1,$D44-1,0),MATCH(I$4,'Baseline NFPC'!$D$10:$W$10,0))</f>
        <v>0.13255243771332909</v>
      </c>
      <c r="J44" s="332">
        <f ca="1">INDEX(OFFSET('Baseline NFPC'!$D$1:$W$1,$D44-1,0),MATCH(J$4,'Baseline NFPC'!$D$10:$W$10,0))</f>
        <v>4.418077140808474E-2</v>
      </c>
      <c r="K44" s="332">
        <f ca="1">INDEX(OFFSET('Baseline NFPC'!$D$1:$W$1,$D44-1,0),MATCH(K$4,'Baseline NFPC'!$D$10:$W$10,0))</f>
        <v>-5.3347307705342571E-6</v>
      </c>
      <c r="L44" s="332">
        <f ca="1">INDEX(OFFSET('Baseline NFPC'!$D$1:$W$1,$D44-1,0),MATCH(L$4,'Baseline NFPC'!$D$10:$W$10,0))</f>
        <v>-4.446971460869698E-6</v>
      </c>
      <c r="M44" s="332">
        <f ca="1">INDEX(OFFSET('Baseline NFPC'!$D$1:$W$1,$D44-1,0),MATCH(M$4,'Baseline NFPC'!$D$10:$W$10,0))</f>
        <v>-2.6715404923605134E-6</v>
      </c>
      <c r="N44" s="332">
        <f ca="1">INDEX(OFFSET('Baseline NFPC'!$D$1:$W$1,$D44-1,0),MATCH(N$4,'Baseline NFPC'!$D$10:$W$10,0))</f>
        <v>-1.3394981067671452E-6</v>
      </c>
      <c r="O44" s="332">
        <f ca="1">INDEX(OFFSET('Baseline NFPC'!$D$1:$W$1,$D44-1,0),MATCH(O$4,'Baseline NFPC'!$D$10:$W$10,0))</f>
        <v>-1.7840624116693961E-6</v>
      </c>
      <c r="P44" s="332">
        <f ca="1">INDEX(OFFSET('Baseline NFPC'!$D$1:$W$1,$D44-1,0),MATCH(P$4,'Baseline NFPC'!$D$10:$W$10,0))</f>
        <v>-3.1179495784572355E-6</v>
      </c>
      <c r="Q44" s="332">
        <f ca="1">INDEX(OFFSET('Baseline NFPC'!$D$1:$W$1,$D44-1,0),MATCH(Q$4,'Baseline NFPC'!$D$10:$W$10,0))</f>
        <v>-4.0075392653715626E-6</v>
      </c>
      <c r="R44" s="332">
        <f ca="1">INDEX(OFFSET('Baseline NFPC'!$D$1:$W$1,$D44-1,0),MATCH(R$4,'Baseline NFPC'!$D$10:$W$10,0))</f>
        <v>-3.1176177646807804E-6</v>
      </c>
      <c r="S44" s="332">
        <f ca="1">INDEX(OFFSET('Baseline NFPC'!$D$1:$W$1,$D44-1,0),MATCH(S$4,'Baseline NFPC'!$D$10:$W$10,0))</f>
        <v>-3.5627445275299153E-6</v>
      </c>
      <c r="T44" s="332">
        <f ca="1">INDEX(OFFSET('Baseline NFPC'!$D$1:$W$1,$D44-1,0),MATCH(T$4,'Baseline NFPC'!$D$10:$W$10,0))</f>
        <v>-2.2272633912523431E-6</v>
      </c>
      <c r="U44" s="332">
        <f ca="1">INDEX(OFFSET('Baseline NFPC'!$D$1:$W$1,$D44-1,0),MATCH(U$4,'Baseline NFPC'!$D$10:$W$10,0))</f>
        <v>-2.2272633912523431E-6</v>
      </c>
      <c r="V44" s="332">
        <f ca="1">INDEX(OFFSET('Baseline NFPC'!$D$1:$W$1,$D44-1,0),MATCH(V$4,'Baseline NFPC'!$D$10:$W$10,0))</f>
        <v>-2.6728972494005631E-6</v>
      </c>
      <c r="W44" s="332">
        <f ca="1">INDEX(OFFSET('Baseline NFPC'!$D$1:$W$1,$D44-1,0),MATCH(W$4,'Baseline NFPC'!$D$10:$W$10,0))</f>
        <v>-4.0102488666482472E-6</v>
      </c>
      <c r="X44" s="332">
        <f ca="1">INDEX(OFFSET('Baseline NFPC'!$D$1:$W$1,$D44-1,0),MATCH(X$4,'Baseline NFPC'!$D$10:$W$10,0))</f>
        <v>-4.456110069739339E-6</v>
      </c>
      <c r="Y44" s="271"/>
    </row>
    <row r="45" spans="1:25" x14ac:dyDescent="0.2">
      <c r="A45" s="271"/>
      <c r="B45" s="339">
        <v>5</v>
      </c>
      <c r="C45" s="343" t="s">
        <v>226</v>
      </c>
      <c r="D45" s="344">
        <v>67</v>
      </c>
      <c r="E45" s="345" t="s">
        <v>221</v>
      </c>
      <c r="F45" s="332">
        <f ca="1">INDEX(OFFSET('Baseline NFPC'!$D$1:$W$1,$D45-1,0),MATCH(F$4,'Baseline NFPC'!$D$10:$W$10,0))</f>
        <v>4.7084400584753539</v>
      </c>
      <c r="G45" s="332">
        <f ca="1">INDEX(OFFSET('Baseline NFPC'!$D$1:$W$1,$D45-1,0),MATCH(G$4,'Baseline NFPC'!$D$10:$W$10,0))</f>
        <v>4.9181599323084875</v>
      </c>
      <c r="H45" s="332">
        <f ca="1">INDEX(OFFSET('Baseline NFPC'!$D$1:$W$1,$D45-1,0),MATCH(H$4,'Baseline NFPC'!$D$10:$W$10,0))</f>
        <v>4.1478841287887658</v>
      </c>
      <c r="I45" s="332">
        <f ca="1">INDEX(OFFSET('Baseline NFPC'!$D$1:$W$1,$D45-1,0),MATCH(I$4,'Baseline NFPC'!$D$10:$W$10,0))</f>
        <v>4.2582424395721148</v>
      </c>
      <c r="J45" s="332">
        <f ca="1">INDEX(OFFSET('Baseline NFPC'!$D$1:$W$1,$D45-1,0),MATCH(J$4,'Baseline NFPC'!$D$10:$W$10,0))</f>
        <v>4.3190648869120114</v>
      </c>
      <c r="K45" s="332">
        <f ca="1">INDEX(OFFSET('Baseline NFPC'!$D$1:$W$1,$D45-1,0),MATCH(K$4,'Baseline NFPC'!$D$10:$W$10,0))</f>
        <v>4.3733119773807836</v>
      </c>
      <c r="L45" s="332">
        <f ca="1">INDEX(OFFSET('Baseline NFPC'!$D$1:$W$1,$D45-1,0),MATCH(L$4,'Baseline NFPC'!$D$10:$W$10,0))</f>
        <v>4.4232047673138908</v>
      </c>
      <c r="M45" s="332">
        <f ca="1">INDEX(OFFSET('Baseline NFPC'!$D$1:$W$1,$D45-1,0),MATCH(M$4,'Baseline NFPC'!$D$10:$W$10,0))</f>
        <v>4.4695097368248549</v>
      </c>
      <c r="N45" s="332">
        <f ca="1">INDEX(OFFSET('Baseline NFPC'!$D$1:$W$1,$D45-1,0),MATCH(N$4,'Baseline NFPC'!$D$10:$W$10,0))</f>
        <v>4.516438018891944</v>
      </c>
      <c r="O45" s="332">
        <f ca="1">INDEX(OFFSET('Baseline NFPC'!$D$1:$W$1,$D45-1,0),MATCH(O$4,'Baseline NFPC'!$D$10:$W$10,0))</f>
        <v>4.5707307679456868</v>
      </c>
      <c r="P45" s="332">
        <f ca="1">INDEX(OFFSET('Baseline NFPC'!$D$1:$W$1,$D45-1,0),MATCH(P$4,'Baseline NFPC'!$D$10:$W$10,0))</f>
        <v>4.6291752134354374</v>
      </c>
      <c r="Q45" s="332">
        <f ca="1">INDEX(OFFSET('Baseline NFPC'!$D$1:$W$1,$D45-1,0),MATCH(Q$4,'Baseline NFPC'!$D$10:$W$10,0))</f>
        <v>4.683866564094914</v>
      </c>
      <c r="R45" s="332">
        <f ca="1">INDEX(OFFSET('Baseline NFPC'!$D$1:$W$1,$D45-1,0),MATCH(R$4,'Baseline NFPC'!$D$10:$W$10,0))</f>
        <v>4.7430767298816185</v>
      </c>
      <c r="S45" s="332">
        <f ca="1">INDEX(OFFSET('Baseline NFPC'!$D$1:$W$1,$D45-1,0),MATCH(S$4,'Baseline NFPC'!$D$10:$W$10,0))</f>
        <v>4.8089192524785673</v>
      </c>
      <c r="T45" s="332">
        <f ca="1">INDEX(OFFSET('Baseline NFPC'!$D$1:$W$1,$D45-1,0),MATCH(T$4,'Baseline NFPC'!$D$10:$W$10,0))</f>
        <v>4.8815171348339597</v>
      </c>
      <c r="U45" s="332">
        <f ca="1">INDEX(OFFSET('Baseline NFPC'!$D$1:$W$1,$D45-1,0),MATCH(U$4,'Baseline NFPC'!$D$10:$W$10,0))</f>
        <v>4.9632925519616036</v>
      </c>
      <c r="V45" s="332">
        <f ca="1">INDEX(OFFSET('Baseline NFPC'!$D$1:$W$1,$D45-1,0),MATCH(V$4,'Baseline NFPC'!$D$10:$W$10,0))</f>
        <v>5.0545519851930178</v>
      </c>
      <c r="W45" s="332">
        <f ca="1">INDEX(OFFSET('Baseline NFPC'!$D$1:$W$1,$D45-1,0),MATCH(W$4,'Baseline NFPC'!$D$10:$W$10,0))</f>
        <v>5.1548461280460662</v>
      </c>
      <c r="X45" s="332">
        <f ca="1">INDEX(OFFSET('Baseline NFPC'!$D$1:$W$1,$D45-1,0),MATCH(X$4,'Baseline NFPC'!$D$10:$W$10,0))</f>
        <v>5.2638461284590505</v>
      </c>
      <c r="Y45" s="271"/>
    </row>
    <row r="46" spans="1:25" x14ac:dyDescent="0.2">
      <c r="A46" s="271"/>
      <c r="B46" s="339">
        <v>6</v>
      </c>
      <c r="C46" s="346" t="s">
        <v>94</v>
      </c>
      <c r="D46" s="344">
        <v>36</v>
      </c>
      <c r="E46" s="345" t="s">
        <v>227</v>
      </c>
      <c r="F46" s="332">
        <f ca="1">INDEX(OFFSET('Baseline NFPC'!$D$1:$W$1,$D46-1,0),MATCH(F$4,'Baseline NFPC'!$D$10:$W$10,0))</f>
        <v>7.51</v>
      </c>
      <c r="G46" s="332">
        <f ca="1">INDEX(OFFSET('Baseline NFPC'!$D$1:$W$1,$D46-1,0),MATCH(G$4,'Baseline NFPC'!$D$10:$W$10,0))</f>
        <v>6.852957</v>
      </c>
      <c r="H46" s="332">
        <f ca="1">INDEX(OFFSET('Baseline NFPC'!$D$1:$W$1,$D46-1,0),MATCH(H$4,'Baseline NFPC'!$D$10:$W$10,0))</f>
        <v>7.0544219999999997</v>
      </c>
      <c r="I46" s="332">
        <f ca="1">INDEX(OFFSET('Baseline NFPC'!$D$1:$W$1,$D46-1,0),MATCH(I$4,'Baseline NFPC'!$D$10:$W$10,0))</f>
        <v>6.9882267499999999</v>
      </c>
      <c r="J46" s="332">
        <f ca="1">INDEX(OFFSET('Baseline NFPC'!$D$1:$W$1,$D46-1,0),MATCH(J$4,'Baseline NFPC'!$D$10:$W$10,0))</f>
        <v>6.9220315000000001</v>
      </c>
      <c r="K46" s="332">
        <f ca="1">INDEX(OFFSET('Baseline NFPC'!$D$1:$W$1,$D46-1,0),MATCH(K$4,'Baseline NFPC'!$D$10:$W$10,0))</f>
        <v>6.8558362500000003</v>
      </c>
      <c r="L46" s="332">
        <f ca="1">INDEX(OFFSET('Baseline NFPC'!$D$1:$W$1,$D46-1,0),MATCH(L$4,'Baseline NFPC'!$D$10:$W$10,0))</f>
        <v>6.7896410000000005</v>
      </c>
      <c r="M46" s="332">
        <f ca="1">INDEX(OFFSET('Baseline NFPC'!$D$1:$W$1,$D46-1,0),MATCH(M$4,'Baseline NFPC'!$D$10:$W$10,0))</f>
        <v>6.7234457500000007</v>
      </c>
      <c r="N46" s="332">
        <f ca="1">INDEX(OFFSET('Baseline NFPC'!$D$1:$W$1,$D46-1,0),MATCH(N$4,'Baseline NFPC'!$D$10:$W$10,0))</f>
        <v>6.6572505000000008</v>
      </c>
      <c r="O46" s="332">
        <f ca="1">INDEX(OFFSET('Baseline NFPC'!$D$1:$W$1,$D46-1,0),MATCH(O$4,'Baseline NFPC'!$D$10:$W$10,0))</f>
        <v>6.591055250000001</v>
      </c>
      <c r="P46" s="332">
        <f ca="1">INDEX(OFFSET('Baseline NFPC'!$D$1:$W$1,$D46-1,0),MATCH(P$4,'Baseline NFPC'!$D$10:$W$10,0))</f>
        <v>6.5248600000000003</v>
      </c>
      <c r="Q46" s="332">
        <f ca="1">INDEX(OFFSET('Baseline NFPC'!$D$1:$W$1,$D46-1,0),MATCH(Q$4,'Baseline NFPC'!$D$10:$W$10,0))</f>
        <v>6.4486170000000005</v>
      </c>
      <c r="R46" s="332">
        <f ca="1">INDEX(OFFSET('Baseline NFPC'!$D$1:$W$1,$D46-1,0),MATCH(R$4,'Baseline NFPC'!$D$10:$W$10,0))</f>
        <v>6.3723740000000006</v>
      </c>
      <c r="S46" s="332">
        <f ca="1">INDEX(OFFSET('Baseline NFPC'!$D$1:$W$1,$D46-1,0),MATCH(S$4,'Baseline NFPC'!$D$10:$W$10,0))</f>
        <v>6.2961309999999999</v>
      </c>
      <c r="T46" s="332">
        <f ca="1">INDEX(OFFSET('Baseline NFPC'!$D$1:$W$1,$D46-1,0),MATCH(T$4,'Baseline NFPC'!$D$10:$W$10,0))</f>
        <v>6.2198880000000001</v>
      </c>
      <c r="U46" s="332">
        <f ca="1">INDEX(OFFSET('Baseline NFPC'!$D$1:$W$1,$D46-1,0),MATCH(U$4,'Baseline NFPC'!$D$10:$W$10,0))</f>
        <v>6.1436450000000002</v>
      </c>
      <c r="V46" s="332">
        <f ca="1">INDEX(OFFSET('Baseline NFPC'!$D$1:$W$1,$D46-1,0),MATCH(V$4,'Baseline NFPC'!$D$10:$W$10,0))</f>
        <v>6.0674020000000004</v>
      </c>
      <c r="W46" s="332">
        <f ca="1">INDEX(OFFSET('Baseline NFPC'!$D$1:$W$1,$D46-1,0),MATCH(W$4,'Baseline NFPC'!$D$10:$W$10,0))</f>
        <v>5.9911590000000006</v>
      </c>
      <c r="X46" s="332">
        <f ca="1">INDEX(OFFSET('Baseline NFPC'!$D$1:$W$1,$D46-1,0),MATCH(X$4,'Baseline NFPC'!$D$10:$W$10,0))</f>
        <v>5.9149159999999998</v>
      </c>
      <c r="Y46" s="271"/>
    </row>
    <row r="47" spans="1:25" x14ac:dyDescent="0.2">
      <c r="A47" s="271"/>
      <c r="B47" s="339">
        <v>7</v>
      </c>
      <c r="C47" s="346" t="s">
        <v>95</v>
      </c>
      <c r="D47" s="344">
        <v>37</v>
      </c>
      <c r="E47" s="345" t="s">
        <v>227</v>
      </c>
      <c r="F47" s="332">
        <f ca="1">INDEX(OFFSET('Baseline NFPC'!$D$1:$W$1,$D47-1,0),MATCH(F$4,'Baseline NFPC'!$D$10:$W$10,0))</f>
        <v>15.97</v>
      </c>
      <c r="G47" s="332">
        <f ca="1">INDEX(OFFSET('Baseline NFPC'!$D$1:$W$1,$D47-1,0),MATCH(G$4,'Baseline NFPC'!$D$10:$W$10,0))</f>
        <v>7.4377000000000004</v>
      </c>
      <c r="H47" s="332">
        <f ca="1">INDEX(OFFSET('Baseline NFPC'!$D$1:$W$1,$D47-1,0),MATCH(H$4,'Baseline NFPC'!$D$10:$W$10,0))</f>
        <v>6.4500719999999996</v>
      </c>
      <c r="I47" s="332">
        <f ca="1">INDEX(OFFSET('Baseline NFPC'!$D$1:$W$1,$D47-1,0),MATCH(I$4,'Baseline NFPC'!$D$10:$W$10,0))</f>
        <v>6.4235542499999996</v>
      </c>
      <c r="J47" s="332">
        <f ca="1">INDEX(OFFSET('Baseline NFPC'!$D$1:$W$1,$D47-1,0),MATCH(J$4,'Baseline NFPC'!$D$10:$W$10,0))</f>
        <v>6.3970364999999996</v>
      </c>
      <c r="K47" s="332">
        <f ca="1">INDEX(OFFSET('Baseline NFPC'!$D$1:$W$1,$D47-1,0),MATCH(K$4,'Baseline NFPC'!$D$10:$W$10,0))</f>
        <v>6.3705187499999996</v>
      </c>
      <c r="L47" s="332">
        <f ca="1">INDEX(OFFSET('Baseline NFPC'!$D$1:$W$1,$D47-1,0),MATCH(L$4,'Baseline NFPC'!$D$10:$W$10,0))</f>
        <v>6.3440009999999996</v>
      </c>
      <c r="M47" s="332">
        <f ca="1">INDEX(OFFSET('Baseline NFPC'!$D$1:$W$1,$D47-1,0),MATCH(M$4,'Baseline NFPC'!$D$10:$W$10,0))</f>
        <v>6.3174832499999996</v>
      </c>
      <c r="N47" s="332">
        <f ca="1">INDEX(OFFSET('Baseline NFPC'!$D$1:$W$1,$D47-1,0),MATCH(N$4,'Baseline NFPC'!$D$10:$W$10,0))</f>
        <v>6.2909654999999995</v>
      </c>
      <c r="O47" s="332">
        <f ca="1">INDEX(OFFSET('Baseline NFPC'!$D$1:$W$1,$D47-1,0),MATCH(O$4,'Baseline NFPC'!$D$10:$W$10,0))</f>
        <v>6.2644477499999995</v>
      </c>
      <c r="P47" s="332">
        <f ca="1">INDEX(OFFSET('Baseline NFPC'!$D$1:$W$1,$D47-1,0),MATCH(P$4,'Baseline NFPC'!$D$10:$W$10,0))</f>
        <v>6.2379300000000004</v>
      </c>
      <c r="Q47" s="332">
        <f ca="1">INDEX(OFFSET('Baseline NFPC'!$D$1:$W$1,$D47-1,0),MATCH(Q$4,'Baseline NFPC'!$D$10:$W$10,0))</f>
        <v>6.0510335000000008</v>
      </c>
      <c r="R47" s="332">
        <f ca="1">INDEX(OFFSET('Baseline NFPC'!$D$1:$W$1,$D47-1,0),MATCH(R$4,'Baseline NFPC'!$D$10:$W$10,0))</f>
        <v>5.8641370000000004</v>
      </c>
      <c r="S47" s="332">
        <f ca="1">INDEX(OFFSET('Baseline NFPC'!$D$1:$W$1,$D47-1,0),MATCH(S$4,'Baseline NFPC'!$D$10:$W$10,0))</f>
        <v>5.6772404999999999</v>
      </c>
      <c r="T47" s="332">
        <f ca="1">INDEX(OFFSET('Baseline NFPC'!$D$1:$W$1,$D47-1,0),MATCH(T$4,'Baseline NFPC'!$D$10:$W$10,0))</f>
        <v>5.4903440000000003</v>
      </c>
      <c r="U47" s="332">
        <f ca="1">INDEX(OFFSET('Baseline NFPC'!$D$1:$W$1,$D47-1,0),MATCH(U$4,'Baseline NFPC'!$D$10:$W$10,0))</f>
        <v>5.3034475000000008</v>
      </c>
      <c r="V47" s="332">
        <f ca="1">INDEX(OFFSET('Baseline NFPC'!$D$1:$W$1,$D47-1,0),MATCH(V$4,'Baseline NFPC'!$D$10:$W$10,0))</f>
        <v>5.1165510000000003</v>
      </c>
      <c r="W47" s="332">
        <f ca="1">INDEX(OFFSET('Baseline NFPC'!$D$1:$W$1,$D47-1,0),MATCH(W$4,'Baseline NFPC'!$D$10:$W$10,0))</f>
        <v>4.9296544999999998</v>
      </c>
      <c r="X47" s="332">
        <f ca="1">INDEX(OFFSET('Baseline NFPC'!$D$1:$W$1,$D47-1,0),MATCH(X$4,'Baseline NFPC'!$D$10:$W$10,0))</f>
        <v>4.7427580000000003</v>
      </c>
      <c r="Y47" s="271"/>
    </row>
    <row r="48" spans="1:25" x14ac:dyDescent="0.2">
      <c r="A48" s="271"/>
      <c r="B48" s="339">
        <v>8</v>
      </c>
      <c r="C48" s="343" t="s">
        <v>228</v>
      </c>
      <c r="D48" s="344">
        <v>35</v>
      </c>
      <c r="E48" s="345" t="s">
        <v>227</v>
      </c>
      <c r="F48" s="332">
        <f ca="1">INDEX(OFFSET('Baseline NFPC'!$D$1:$W$1,$D48-1,0),MATCH(F$4,'Baseline NFPC'!$D$10:$W$10,0))</f>
        <v>7.2293640000000003</v>
      </c>
      <c r="G48" s="332">
        <f ca="1">INDEX(OFFSET('Baseline NFPC'!$D$1:$W$1,$D48-1,0),MATCH(G$4,'Baseline NFPC'!$D$10:$W$10,0))</f>
        <v>7.2143069999999998</v>
      </c>
      <c r="H48" s="332">
        <f ca="1">INDEX(OFFSET('Baseline NFPC'!$D$1:$W$1,$D48-1,0),MATCH(H$4,'Baseline NFPC'!$D$10:$W$10,0))</f>
        <v>5.985741</v>
      </c>
      <c r="I48" s="332">
        <f ca="1">INDEX(OFFSET('Baseline NFPC'!$D$1:$W$1,$D48-1,0),MATCH(I$4,'Baseline NFPC'!$D$10:$W$10,0))</f>
        <v>6.1266569950914258</v>
      </c>
      <c r="J48" s="332">
        <f ca="1">INDEX(OFFSET('Baseline NFPC'!$D$1:$W$1,$D48-1,0),MATCH(J$4,'Baseline NFPC'!$D$10:$W$10,0))</f>
        <v>6.2185541201633292</v>
      </c>
      <c r="K48" s="332">
        <f ca="1">INDEX(OFFSET('Baseline NFPC'!$D$1:$W$1,$D48-1,0),MATCH(K$4,'Baseline NFPC'!$D$10:$W$10,0))</f>
        <v>6.2915043465930225</v>
      </c>
      <c r="L48" s="332">
        <f ca="1">INDEX(OFFSET('Baseline NFPC'!$D$1:$W$1,$D48-1,0),MATCH(L$4,'Baseline NFPC'!$D$10:$W$10,0))</f>
        <v>6.3482790719815005</v>
      </c>
      <c r="M48" s="332">
        <f ca="1">INDEX(OFFSET('Baseline NFPC'!$D$1:$W$1,$D48-1,0),MATCH(M$4,'Baseline NFPC'!$D$10:$W$10,0))</f>
        <v>6.3907518299931834</v>
      </c>
      <c r="N48" s="332">
        <f ca="1">INDEX(OFFSET('Baseline NFPC'!$D$1:$W$1,$D48-1,0),MATCH(N$4,'Baseline NFPC'!$D$10:$W$10,0))</f>
        <v>6.4203822036899831</v>
      </c>
      <c r="O48" s="332">
        <f ca="1">INDEX(OFFSET('Baseline NFPC'!$D$1:$W$1,$D48-1,0),MATCH(O$4,'Baseline NFPC'!$D$10:$W$10,0))</f>
        <v>6.4384569759832049</v>
      </c>
      <c r="P48" s="332">
        <f ca="1">INDEX(OFFSET('Baseline NFPC'!$D$1:$W$1,$D48-1,0),MATCH(P$4,'Baseline NFPC'!$D$10:$W$10,0))</f>
        <v>6.4460823416539226</v>
      </c>
      <c r="Q48" s="332">
        <f ca="1">INDEX(OFFSET('Baseline NFPC'!$D$1:$W$1,$D48-1,0),MATCH(Q$4,'Baseline NFPC'!$D$10:$W$10,0))</f>
        <v>6.4330900290657365</v>
      </c>
      <c r="R48" s="332">
        <f ca="1">INDEX(OFFSET('Baseline NFPC'!$D$1:$W$1,$D48-1,0),MATCH(R$4,'Baseline NFPC'!$D$10:$W$10,0))</f>
        <v>6.4104637781901852</v>
      </c>
      <c r="S48" s="332">
        <f ca="1">INDEX(OFFSET('Baseline NFPC'!$D$1:$W$1,$D48-1,0),MATCH(S$4,'Baseline NFPC'!$D$10:$W$10,0))</f>
        <v>6.3792758703650616</v>
      </c>
      <c r="T48" s="332">
        <f ca="1">INDEX(OFFSET('Baseline NFPC'!$D$1:$W$1,$D48-1,0),MATCH(T$4,'Baseline NFPC'!$D$10:$W$10,0))</f>
        <v>6.3404807613409879</v>
      </c>
      <c r="U48" s="332">
        <f ca="1">INDEX(OFFSET('Baseline NFPC'!$D$1:$W$1,$D48-1,0),MATCH(U$4,'Baseline NFPC'!$D$10:$W$10,0))</f>
        <v>6.2949862415079352</v>
      </c>
      <c r="V48" s="332">
        <f ca="1">INDEX(OFFSET('Baseline NFPC'!$D$1:$W$1,$D48-1,0),MATCH(V$4,'Baseline NFPC'!$D$10:$W$10,0))</f>
        <v>6.2436291325501223</v>
      </c>
      <c r="W48" s="332">
        <f ca="1">INDEX(OFFSET('Baseline NFPC'!$D$1:$W$1,$D48-1,0),MATCH(W$4,'Baseline NFPC'!$D$10:$W$10,0))</f>
        <v>6.1871539811964347</v>
      </c>
      <c r="X48" s="332">
        <f ca="1">INDEX(OFFSET('Baseline NFPC'!$D$1:$W$1,$D48-1,0),MATCH(X$4,'Baseline NFPC'!$D$10:$W$10,0))</f>
        <v>6.1262309242227895</v>
      </c>
      <c r="Y48" s="271"/>
    </row>
    <row r="49" spans="1:25" x14ac:dyDescent="0.2">
      <c r="A49" s="271"/>
      <c r="B49" s="339">
        <v>9</v>
      </c>
      <c r="C49" s="347" t="s">
        <v>62</v>
      </c>
      <c r="D49" s="344">
        <v>26</v>
      </c>
      <c r="E49" s="345" t="s">
        <v>230</v>
      </c>
      <c r="F49" s="332">
        <f ca="1">(INDEX(OFFSET('Baseline NFPC'!$D$1:$W$1,$D49-1,0),MATCH(F$4,'Baseline NFPC'!$D$10:$W$10,0))/INDEX(OFFSET('Baseline NFPC'!$D$1:$W$1,$D49-1,0),MATCH(E$4,'Baseline NFPC'!$D$10:$W$10,0))-1)*100</f>
        <v>2.1468510000000052</v>
      </c>
      <c r="G49" s="332">
        <f ca="1">(INDEX(OFFSET('Baseline NFPC'!$D$1:$W$1,$D49-1,0),MATCH(G$4,'Baseline NFPC'!$D$10:$W$10,0))/INDEX(OFFSET('Baseline NFPC'!$D$1:$W$1,$D49-1,0),MATCH(F$4,'Baseline NFPC'!$D$10:$W$10,0))-1)*100</f>
        <v>2.2002089999999974</v>
      </c>
      <c r="H49" s="332">
        <f ca="1">(INDEX(OFFSET('Baseline NFPC'!$D$1:$W$1,$D49-1,0),MATCH(H$4,'Baseline NFPC'!$D$10:$W$10,0))/INDEX(OFFSET('Baseline NFPC'!$D$1:$W$1,$D49-1,0),MATCH(G$4,'Baseline NFPC'!$D$10:$W$10,0))-1)*100</f>
        <v>2.4702640000000109</v>
      </c>
      <c r="I49" s="332">
        <f ca="1">(INDEX(OFFSET('Baseline NFPC'!$D$1:$W$1,$D49-1,0),MATCH(I$4,'Baseline NFPC'!$D$10:$W$10,0))/INDEX(OFFSET('Baseline NFPC'!$D$1:$W$1,$D49-1,0),MATCH(H$4,'Baseline NFPC'!$D$10:$W$10,0))-1)*100</f>
        <v>2.2591220000000023</v>
      </c>
      <c r="J49" s="332">
        <f ca="1">(INDEX(OFFSET('Baseline NFPC'!$D$1:$W$1,$D49-1,0),MATCH(J$4,'Baseline NFPC'!$D$10:$W$10,0))/INDEX(OFFSET('Baseline NFPC'!$D$1:$W$1,$D49-1,0),MATCH(I$4,'Baseline NFPC'!$D$10:$W$10,0))-1)*100</f>
        <v>2.121382000000005</v>
      </c>
      <c r="K49" s="332">
        <f ca="1">(INDEX(OFFSET('Baseline NFPC'!$D$1:$W$1,$D49-1,0),MATCH(K$4,'Baseline NFPC'!$D$10:$W$10,0))/INDEX(OFFSET('Baseline NFPC'!$D$1:$W$1,$D49-1,0),MATCH(J$4,'Baseline NFPC'!$D$10:$W$10,0))-1)*100</f>
        <v>2.0276299999999914</v>
      </c>
      <c r="L49" s="332">
        <f ca="1">(INDEX(OFFSET('Baseline NFPC'!$D$1:$W$1,$D49-1,0),MATCH(L$4,'Baseline NFPC'!$D$10:$W$10,0))/INDEX(OFFSET('Baseline NFPC'!$D$1:$W$1,$D49-1,0),MATCH(K$4,'Baseline NFPC'!$D$10:$W$10,0))-1)*100</f>
        <v>2.0547010000000032</v>
      </c>
      <c r="M49" s="332">
        <f ca="1">(INDEX(OFFSET('Baseline NFPC'!$D$1:$W$1,$D49-1,0),MATCH(M$4,'Baseline NFPC'!$D$10:$W$10,0))/INDEX(OFFSET('Baseline NFPC'!$D$1:$W$1,$D49-1,0),MATCH(L$4,'Baseline NFPC'!$D$10:$W$10,0))-1)*100</f>
        <v>2.0597369999999948</v>
      </c>
      <c r="N49" s="332">
        <f ca="1">(INDEX(OFFSET('Baseline NFPC'!$D$1:$W$1,$D49-1,0),MATCH(N$4,'Baseline NFPC'!$D$10:$W$10,0))/INDEX(OFFSET('Baseline NFPC'!$D$1:$W$1,$D49-1,0),MATCH(M$4,'Baseline NFPC'!$D$10:$W$10,0))-1)*100</f>
        <v>2.0237870000000102</v>
      </c>
      <c r="O49" s="332">
        <f ca="1">(INDEX(OFFSET('Baseline NFPC'!$D$1:$W$1,$D49-1,0),MATCH(O$4,'Baseline NFPC'!$D$10:$W$10,0))/INDEX(OFFSET('Baseline NFPC'!$D$1:$W$1,$D49-1,0),MATCH(N$4,'Baseline NFPC'!$D$10:$W$10,0))-1)*100</f>
        <v>1.8975259999999938</v>
      </c>
      <c r="P49" s="332">
        <f ca="1">(INDEX(OFFSET('Baseline NFPC'!$D$1:$W$1,$D49-1,0),MATCH(P$4,'Baseline NFPC'!$D$10:$W$10,0))/INDEX(OFFSET('Baseline NFPC'!$D$1:$W$1,$D49-1,0),MATCH(O$4,'Baseline NFPC'!$D$10:$W$10,0))-1)*100</f>
        <v>1.8826849999999951</v>
      </c>
      <c r="Q49" s="332">
        <f ca="1">(INDEX(OFFSET('Baseline NFPC'!$D$1:$W$1,$D49-1,0),MATCH(Q$4,'Baseline NFPC'!$D$10:$W$10,0))/INDEX(OFFSET('Baseline NFPC'!$D$1:$W$1,$D49-1,0),MATCH(P$4,'Baseline NFPC'!$D$10:$W$10,0))-1)*100</f>
        <v>1.8447129999999978</v>
      </c>
      <c r="R49" s="332">
        <f ca="1">(INDEX(OFFSET('Baseline NFPC'!$D$1:$W$1,$D49-1,0),MATCH(R$4,'Baseline NFPC'!$D$10:$W$10,0))/INDEX(OFFSET('Baseline NFPC'!$D$1:$W$1,$D49-1,0),MATCH(Q$4,'Baseline NFPC'!$D$10:$W$10,0))-1)*100</f>
        <v>1.8067410000000006</v>
      </c>
      <c r="S49" s="332">
        <f ca="1">(INDEX(OFFSET('Baseline NFPC'!$D$1:$W$1,$D49-1,0),MATCH(S$4,'Baseline NFPC'!$D$10:$W$10,0))/INDEX(OFFSET('Baseline NFPC'!$D$1:$W$1,$D49-1,0),MATCH(R$4,'Baseline NFPC'!$D$10:$W$10,0))-1)*100</f>
        <v>1.7687690000000034</v>
      </c>
      <c r="T49" s="332">
        <f ca="1">(INDEX(OFFSET('Baseline NFPC'!$D$1:$W$1,$D49-1,0),MATCH(T$4,'Baseline NFPC'!$D$10:$W$10,0))/INDEX(OFFSET('Baseline NFPC'!$D$1:$W$1,$D49-1,0),MATCH(S$4,'Baseline NFPC'!$D$10:$W$10,0))-1)*100</f>
        <v>1.7610860000000006</v>
      </c>
      <c r="U49" s="332">
        <f ca="1">(INDEX(OFFSET('Baseline NFPC'!$D$1:$W$1,$D49-1,0),MATCH(U$4,'Baseline NFPC'!$D$10:$W$10,0))/INDEX(OFFSET('Baseline NFPC'!$D$1:$W$1,$D49-1,0),MATCH(T$4,'Baseline NFPC'!$D$10:$W$10,0))-1)*100</f>
        <v>1.7076499999999939</v>
      </c>
      <c r="V49" s="332">
        <f ca="1">(INDEX(OFFSET('Baseline NFPC'!$D$1:$W$1,$D49-1,0),MATCH(V$4,'Baseline NFPC'!$D$10:$W$10,0))/INDEX(OFFSET('Baseline NFPC'!$D$1:$W$1,$D49-1,0),MATCH(U$4,'Baseline NFPC'!$D$10:$W$10,0))-1)*100</f>
        <v>1.6529669999999941</v>
      </c>
      <c r="W49" s="332">
        <f ca="1">(INDEX(OFFSET('Baseline NFPC'!$D$1:$W$1,$D49-1,0),MATCH(W$4,'Baseline NFPC'!$D$10:$W$10,0))/INDEX(OFFSET('Baseline NFPC'!$D$1:$W$1,$D49-1,0),MATCH(V$4,'Baseline NFPC'!$D$10:$W$10,0))-1)*100</f>
        <v>1.6187560000000101</v>
      </c>
      <c r="X49" s="332">
        <f ca="1">(INDEX(OFFSET('Baseline NFPC'!$D$1:$W$1,$D49-1,0),MATCH(X$4,'Baseline NFPC'!$D$10:$W$10,0))/INDEX(OFFSET('Baseline NFPC'!$D$1:$W$1,$D49-1,0),MATCH(W$4,'Baseline NFPC'!$D$10:$W$10,0))-1)*100</f>
        <v>1.6011320000000051</v>
      </c>
      <c r="Y49" s="271"/>
    </row>
    <row r="50" spans="1:25" x14ac:dyDescent="0.2">
      <c r="A50" s="271"/>
      <c r="B50" s="339">
        <v>10</v>
      </c>
      <c r="C50" s="335" t="s">
        <v>231</v>
      </c>
      <c r="D50" s="344">
        <v>23</v>
      </c>
      <c r="E50" s="345" t="s">
        <v>230</v>
      </c>
      <c r="F50" s="332">
        <f ca="1">INDEX(OFFSET('Baseline NFPC'!$D$1:$W$1,$D50-1,0),MATCH(F$4,'Baseline NFPC'!$D$10:$W$10,0))</f>
        <v>-0.90768590000000005</v>
      </c>
      <c r="G50" s="332">
        <f ca="1">INDEX(OFFSET('Baseline NFPC'!$D$1:$W$1,$D50-1,0),MATCH(G$4,'Baseline NFPC'!$D$10:$W$10,0))</f>
        <v>2.4166650000000001</v>
      </c>
      <c r="H50" s="332">
        <f ca="1">INDEX(OFFSET('Baseline NFPC'!$D$1:$W$1,$D50-1,0),MATCH(H$4,'Baseline NFPC'!$D$10:$W$10,0))</f>
        <v>3.279118</v>
      </c>
      <c r="I50" s="332">
        <f ca="1">INDEX(OFFSET('Baseline NFPC'!$D$1:$W$1,$D50-1,0),MATCH(I$4,'Baseline NFPC'!$D$10:$W$10,0))</f>
        <v>2.4094059999999917</v>
      </c>
      <c r="J50" s="332">
        <f ca="1">INDEX(OFFSET('Baseline NFPC'!$D$1:$W$1,$D50-1,0),MATCH(J$4,'Baseline NFPC'!$D$10:$W$10,0))</f>
        <v>2.3211859999999973</v>
      </c>
      <c r="K50" s="332">
        <f ca="1">INDEX(OFFSET('Baseline NFPC'!$D$1:$W$1,$D50-1,0),MATCH(K$4,'Baseline NFPC'!$D$10:$W$10,0))</f>
        <v>2.1272460000000049</v>
      </c>
      <c r="L50" s="332">
        <f ca="1">INDEX(OFFSET('Baseline NFPC'!$D$1:$W$1,$D50-1,0),MATCH(L$4,'Baseline NFPC'!$D$10:$W$10,0))</f>
        <v>2.0546989999999932</v>
      </c>
      <c r="M50" s="332">
        <f ca="1">INDEX(OFFSET('Baseline NFPC'!$D$1:$W$1,$D50-1,0),MATCH(M$4,'Baseline NFPC'!$D$10:$W$10,0))</f>
        <v>2.0597329999999969</v>
      </c>
      <c r="N50" s="332">
        <f ca="1">INDEX(OFFSET('Baseline NFPC'!$D$1:$W$1,$D50-1,0),MATCH(N$4,'Baseline NFPC'!$D$10:$W$10,0))</f>
        <v>2.0237840000000062</v>
      </c>
      <c r="O50" s="332">
        <f ca="1">INDEX(OFFSET('Baseline NFPC'!$D$1:$W$1,$D50-1,0),MATCH(O$4,'Baseline NFPC'!$D$10:$W$10,0))</f>
        <v>1.89752700000001</v>
      </c>
      <c r="P50" s="332">
        <f ca="1">INDEX(OFFSET('Baseline NFPC'!$D$1:$W$1,$D50-1,0),MATCH(P$4,'Baseline NFPC'!$D$10:$W$10,0))</f>
        <v>1.882687999999999</v>
      </c>
      <c r="Q50" s="332">
        <f ca="1">INDEX(OFFSET('Baseline NFPC'!$D$1:$W$1,$D50-1,0),MATCH(Q$4,'Baseline NFPC'!$D$10:$W$10,0))</f>
        <v>1.8447150000000079</v>
      </c>
      <c r="R50" s="332">
        <f ca="1">INDEX(OFFSET('Baseline NFPC'!$D$1:$W$1,$D50-1,0),MATCH(R$4,'Baseline NFPC'!$D$10:$W$10,0))</f>
        <v>1.8067389999999905</v>
      </c>
      <c r="S50" s="332">
        <f ca="1">INDEX(OFFSET('Baseline NFPC'!$D$1:$W$1,$D50-1,0),MATCH(S$4,'Baseline NFPC'!$D$10:$W$10,0))</f>
        <v>1.7687699999999973</v>
      </c>
      <c r="T50" s="332">
        <f ca="1">INDEX(OFFSET('Baseline NFPC'!$D$1:$W$1,$D50-1,0),MATCH(T$4,'Baseline NFPC'!$D$10:$W$10,0))</f>
        <v>1.7610829999999966</v>
      </c>
      <c r="U50" s="332">
        <f ca="1">INDEX(OFFSET('Baseline NFPC'!$D$1:$W$1,$D50-1,0),MATCH(U$4,'Baseline NFPC'!$D$10:$W$10,0))</f>
        <v>1.7076499999999939</v>
      </c>
      <c r="V50" s="332">
        <f ca="1">INDEX(OFFSET('Baseline NFPC'!$D$1:$W$1,$D50-1,0),MATCH(V$4,'Baseline NFPC'!$D$10:$W$10,0))</f>
        <v>1.6529680000000102</v>
      </c>
      <c r="W50" s="332">
        <f ca="1">INDEX(OFFSET('Baseline NFPC'!$D$1:$W$1,$D50-1,0),MATCH(W$4,'Baseline NFPC'!$D$10:$W$10,0))</f>
        <v>1.6187589999999918</v>
      </c>
      <c r="X50" s="332">
        <f ca="1">INDEX(OFFSET('Baseline NFPC'!$D$1:$W$1,$D50-1,0),MATCH(X$4,'Baseline NFPC'!$D$10:$W$10,0))</f>
        <v>1.601132999999999</v>
      </c>
      <c r="Y50" s="271"/>
    </row>
    <row r="51" spans="1:25" x14ac:dyDescent="0.2">
      <c r="A51" s="271"/>
      <c r="B51" s="339">
        <v>11</v>
      </c>
      <c r="C51" s="348" t="s">
        <v>232</v>
      </c>
      <c r="D51" s="344">
        <v>41</v>
      </c>
      <c r="E51" s="345" t="s">
        <v>230</v>
      </c>
      <c r="F51" s="332">
        <f ca="1">INDEX(OFFSET('Baseline NFPC'!$D$1:$W$1,$D51-1,0),MATCH(F$4,'Baseline NFPC'!$D$10:$W$10,0))</f>
        <v>14.74901</v>
      </c>
      <c r="G51" s="332">
        <f ca="1">INDEX(OFFSET('Baseline NFPC'!$D$1:$W$1,$D51-1,0),MATCH(G$4,'Baseline NFPC'!$D$10:$W$10,0))</f>
        <v>5.300141</v>
      </c>
      <c r="H51" s="332">
        <f ca="1">INDEX(OFFSET('Baseline NFPC'!$D$1:$W$1,$D51-1,0),MATCH(H$4,'Baseline NFPC'!$D$10:$W$10,0))</f>
        <v>3.7999740000000002</v>
      </c>
      <c r="I51" s="332">
        <f ca="1">INDEX(OFFSET('Baseline NFPC'!$D$1:$W$1,$D51-1,0),MATCH(I$4,'Baseline NFPC'!$D$10:$W$10,0))</f>
        <v>3.72622725</v>
      </c>
      <c r="J51" s="332">
        <f ca="1">INDEX(OFFSET('Baseline NFPC'!$D$1:$W$1,$D51-1,0),MATCH(J$4,'Baseline NFPC'!$D$10:$W$10,0))</f>
        <v>3.6524805000000002</v>
      </c>
      <c r="K51" s="332">
        <f ca="1">INDEX(OFFSET('Baseline NFPC'!$D$1:$W$1,$D51-1,0),MATCH(K$4,'Baseline NFPC'!$D$10:$W$10,0))</f>
        <v>3.57873375</v>
      </c>
      <c r="L51" s="332">
        <f ca="1">INDEX(OFFSET('Baseline NFPC'!$D$1:$W$1,$D51-1,0),MATCH(L$4,'Baseline NFPC'!$D$10:$W$10,0))</f>
        <v>3.5049869999999999</v>
      </c>
      <c r="M51" s="332">
        <f ca="1">INDEX(OFFSET('Baseline NFPC'!$D$1:$W$1,$D51-1,0),MATCH(M$4,'Baseline NFPC'!$D$10:$W$10,0))</f>
        <v>3.4312402500000001</v>
      </c>
      <c r="N51" s="332">
        <f ca="1">INDEX(OFFSET('Baseline NFPC'!$D$1:$W$1,$D51-1,0),MATCH(N$4,'Baseline NFPC'!$D$10:$W$10,0))</f>
        <v>3.3574934999999999</v>
      </c>
      <c r="O51" s="332">
        <f ca="1">INDEX(OFFSET('Baseline NFPC'!$D$1:$W$1,$D51-1,0),MATCH(O$4,'Baseline NFPC'!$D$10:$W$10,0))</f>
        <v>3.2837467499999997</v>
      </c>
      <c r="P51" s="332">
        <f ca="1">INDEX(OFFSET('Baseline NFPC'!$D$1:$W$1,$D51-1,0),MATCH(P$4,'Baseline NFPC'!$D$10:$W$10,0))</f>
        <v>3.21</v>
      </c>
      <c r="Q51" s="332">
        <f ca="1">INDEX(OFFSET('Baseline NFPC'!$D$1:$W$1,$D51-1,0),MATCH(Q$4,'Baseline NFPC'!$D$10:$W$10,0))</f>
        <v>3.1995</v>
      </c>
      <c r="R51" s="332">
        <f ca="1">INDEX(OFFSET('Baseline NFPC'!$D$1:$W$1,$D51-1,0),MATCH(R$4,'Baseline NFPC'!$D$10:$W$10,0))</f>
        <v>3.1890000000000001</v>
      </c>
      <c r="S51" s="332">
        <f ca="1">INDEX(OFFSET('Baseline NFPC'!$D$1:$W$1,$D51-1,0),MATCH(S$4,'Baseline NFPC'!$D$10:$W$10,0))</f>
        <v>3.1785000000000001</v>
      </c>
      <c r="T51" s="332">
        <f ca="1">INDEX(OFFSET('Baseline NFPC'!$D$1:$W$1,$D51-1,0),MATCH(T$4,'Baseline NFPC'!$D$10:$W$10,0))</f>
        <v>3.1680000000000001</v>
      </c>
      <c r="U51" s="332">
        <f ca="1">INDEX(OFFSET('Baseline NFPC'!$D$1:$W$1,$D51-1,0),MATCH(U$4,'Baseline NFPC'!$D$10:$W$10,0))</f>
        <v>3.1574999999999998</v>
      </c>
      <c r="V51" s="332">
        <f ca="1">INDEX(OFFSET('Baseline NFPC'!$D$1:$W$1,$D51-1,0),MATCH(V$4,'Baseline NFPC'!$D$10:$W$10,0))</f>
        <v>3.1469999999999998</v>
      </c>
      <c r="W51" s="332">
        <f ca="1">INDEX(OFFSET('Baseline NFPC'!$D$1:$W$1,$D51-1,0),MATCH(W$4,'Baseline NFPC'!$D$10:$W$10,0))</f>
        <v>3.1364999999999998</v>
      </c>
      <c r="X51" s="332">
        <f ca="1">INDEX(OFFSET('Baseline NFPC'!$D$1:$W$1,$D51-1,0),MATCH(X$4,'Baseline NFPC'!$D$10:$W$10,0))</f>
        <v>3.1259999999999999</v>
      </c>
      <c r="Y51" s="271"/>
    </row>
    <row r="52" spans="1:25" x14ac:dyDescent="0.2">
      <c r="A52" s="271"/>
      <c r="B52" s="339">
        <v>12</v>
      </c>
      <c r="C52" s="335" t="s">
        <v>233</v>
      </c>
      <c r="D52" s="344">
        <v>32</v>
      </c>
      <c r="E52" s="345" t="s">
        <v>230</v>
      </c>
      <c r="F52" s="332">
        <f ca="1">INDEX(OFFSET('Baseline NFPC'!$D$1:$W$1,$D52-1,0),MATCH(F$4,'Baseline NFPC'!$D$10:$W$10,0))</f>
        <v>13.707449415840411</v>
      </c>
      <c r="G52" s="332">
        <f ca="1">INDEX(OFFSET('Baseline NFPC'!$D$1:$W$1,$D52-1,0),MATCH(G$4,'Baseline NFPC'!$D$10:$W$10,0))</f>
        <v>7.8448926524976592</v>
      </c>
      <c r="H52" s="332">
        <f ca="1">INDEX(OFFSET('Baseline NFPC'!$D$1:$W$1,$D52-1,0),MATCH(H$4,'Baseline NFPC'!$D$10:$W$10,0))</f>
        <v>7.2036976314293399</v>
      </c>
      <c r="I52" s="332">
        <f ca="1">INDEX(OFFSET('Baseline NFPC'!$D$1:$W$1,$D52-1,0),MATCH(I$4,'Baseline NFPC'!$D$10:$W$10,0))</f>
        <v>6.2254131929351253</v>
      </c>
      <c r="J52" s="332">
        <f ca="1">INDEX(OFFSET('Baseline NFPC'!$D$1:$W$1,$D52-1,0),MATCH(J$4,'Baseline NFPC'!$D$10:$W$10,0))</f>
        <v>6.0584473660187266</v>
      </c>
      <c r="K52" s="332">
        <f ca="1">INDEX(OFFSET('Baseline NFPC'!$D$1:$W$1,$D52-1,0),MATCH(K$4,'Baseline NFPC'!$D$10:$W$10,0))</f>
        <v>5.7821082205475216</v>
      </c>
      <c r="L52" s="332">
        <f ca="1">INDEX(OFFSET('Baseline NFPC'!$D$1:$W$1,$D52-1,0),MATCH(L$4,'Baseline NFPC'!$D$10:$W$10,0))</f>
        <v>5.6317029328391222</v>
      </c>
      <c r="M52" s="332">
        <f ca="1">INDEX(OFFSET('Baseline NFPC'!$D$1:$W$1,$D52-1,0),MATCH(M$4,'Baseline NFPC'!$D$10:$W$10,0))</f>
        <v>5.5616476377385204</v>
      </c>
      <c r="N52" s="332">
        <f ca="1">INDEX(OFFSET('Baseline NFPC'!$D$1:$W$1,$D52-1,0),MATCH(N$4,'Baseline NFPC'!$D$10:$W$10,0))</f>
        <v>5.4492259162540524</v>
      </c>
      <c r="O52" s="332">
        <f ca="1">INDEX(OFFSET('Baseline NFPC'!$D$1:$W$1,$D52-1,0),MATCH(O$4,'Baseline NFPC'!$D$10:$W$10,0))</f>
        <v>5.2435837311928912</v>
      </c>
      <c r="P52" s="332">
        <f ca="1">INDEX(OFFSET('Baseline NFPC'!$D$1:$W$1,$D52-1,0),MATCH(P$4,'Baseline NFPC'!$D$10:$W$10,0))</f>
        <v>5.1531222848000047</v>
      </c>
      <c r="Q52" s="332">
        <f ca="1">INDEX(OFFSET('Baseline NFPC'!$D$1:$W$1,$D52-1,0),MATCH(Q$4,'Baseline NFPC'!$D$10:$W$10,0))</f>
        <v>5.1032366564250031</v>
      </c>
      <c r="R52" s="332">
        <f ca="1">INDEX(OFFSET('Baseline NFPC'!$D$1:$W$1,$D52-1,0),MATCH(R$4,'Baseline NFPC'!$D$10:$W$10,0))</f>
        <v>5.0533559067099887</v>
      </c>
      <c r="S52" s="332">
        <f ca="1">INDEX(OFFSET('Baseline NFPC'!$D$1:$W$1,$D52-1,0),MATCH(S$4,'Baseline NFPC'!$D$10:$W$10,0))</f>
        <v>5.003490354450002</v>
      </c>
      <c r="T52" s="332">
        <f ca="1">INDEX(OFFSET('Baseline NFPC'!$D$1:$W$1,$D52-1,0),MATCH(T$4,'Baseline NFPC'!$D$10:$W$10,0))</f>
        <v>4.9848741094399962</v>
      </c>
      <c r="U52" s="332">
        <f ca="1">INDEX(OFFSET('Baseline NFPC'!$D$1:$W$1,$D52-1,0),MATCH(U$4,'Baseline NFPC'!$D$10:$W$10,0))</f>
        <v>4.9190690487499911</v>
      </c>
      <c r="V52" s="332">
        <f ca="1">INDEX(OFFSET('Baseline NFPC'!$D$1:$W$1,$D52-1,0),MATCH(V$4,'Baseline NFPC'!$D$10:$W$10,0))</f>
        <v>4.851986902960026</v>
      </c>
      <c r="W52" s="332">
        <f ca="1">INDEX(OFFSET('Baseline NFPC'!$D$1:$W$1,$D52-1,0),MATCH(W$4,'Baseline NFPC'!$D$10:$W$10,0))</f>
        <v>4.8060313760349915</v>
      </c>
      <c r="X52" s="332">
        <f ca="1">INDEX(OFFSET('Baseline NFPC'!$D$1:$W$1,$D52-1,0),MATCH(X$4,'Baseline NFPC'!$D$10:$W$10,0))</f>
        <v>4.777184417580016</v>
      </c>
      <c r="Y52" s="271"/>
    </row>
    <row r="53" spans="1:25" x14ac:dyDescent="0.2">
      <c r="A53" s="271"/>
      <c r="B53" s="339">
        <v>13</v>
      </c>
      <c r="C53" s="335" t="s">
        <v>68</v>
      </c>
      <c r="D53" s="334"/>
      <c r="E53" s="345" t="s">
        <v>227</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239</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220</v>
      </c>
      <c r="D58" s="344">
        <v>100</v>
      </c>
      <c r="E58" s="345" t="s">
        <v>221</v>
      </c>
      <c r="F58" s="332">
        <f ca="1">INDEX(OFFSET('Adjustment scenario'!$D$1:$W$1,$D58-1,0),MATCH(F$4,'Adjustment scenario'!$D$10:$W$10,0))</f>
        <v>73.520357526734585</v>
      </c>
      <c r="G58" s="332">
        <f ca="1">INDEX(OFFSET('Adjustment scenario'!$D$1:$W$1,$D58-1,0),MATCH(G$4,'Adjustment scenario'!$D$10:$W$10,0))</f>
        <v>74.287964673525892</v>
      </c>
      <c r="H58" s="332">
        <f ca="1">INDEX(OFFSET('Adjustment scenario'!$D$1:$W$1,$D58-1,0),MATCH(H$4,'Adjustment scenario'!$D$10:$W$10,0))</f>
        <v>73.854222000134087</v>
      </c>
      <c r="I58" s="332">
        <f ca="1">INDEX(OFFSET('Adjustment scenario'!$D$1:$W$1,$D58-1,0),MATCH(I$4,'Adjustment scenario'!$D$10:$W$10,0))</f>
        <v>73.145093744834043</v>
      </c>
      <c r="J58" s="332">
        <f ca="1">INDEX(OFFSET('Adjustment scenario'!$D$1:$W$1,$D58-1,0),MATCH(J$4,'Adjustment scenario'!$D$10:$W$10,0))</f>
        <v>71.995695653916627</v>
      </c>
      <c r="K58" s="332">
        <f ca="1">INDEX(OFFSET('Adjustment scenario'!$D$1:$W$1,$D58-1,0),MATCH(K$4,'Adjustment scenario'!$D$10:$W$10,0))</f>
        <v>70.351529341469316</v>
      </c>
      <c r="L58" s="332">
        <f ca="1">INDEX(OFFSET('Adjustment scenario'!$D$1:$W$1,$D58-1,0),MATCH(L$4,'Adjustment scenario'!$D$10:$W$10,0))</f>
        <v>68.220207862620057</v>
      </c>
      <c r="M58" s="332">
        <f ca="1">INDEX(OFFSET('Adjustment scenario'!$D$1:$W$1,$D58-1,0),MATCH(M$4,'Adjustment scenario'!$D$10:$W$10,0))</f>
        <v>66.005551885247996</v>
      </c>
      <c r="N58" s="332">
        <f ca="1">INDEX(OFFSET('Adjustment scenario'!$D$1:$W$1,$D58-1,0),MATCH(N$4,'Adjustment scenario'!$D$10:$W$10,0))</f>
        <v>63.75887384584049</v>
      </c>
      <c r="O58" s="332">
        <f ca="1">INDEX(OFFSET('Adjustment scenario'!$D$1:$W$1,$D58-1,0),MATCH(O$4,'Adjustment scenario'!$D$10:$W$10,0))</f>
        <v>62.01479797603222</v>
      </c>
      <c r="P58" s="332">
        <f ca="1">INDEX(OFFSET('Adjustment scenario'!$D$1:$W$1,$D58-1,0),MATCH(P$4,'Adjustment scenario'!$D$10:$W$10,0))</f>
        <v>60.440781226386001</v>
      </c>
      <c r="Q58" s="332">
        <f ca="1">INDEX(OFFSET('Adjustment scenario'!$D$1:$W$1,$D58-1,0),MATCH(Q$4,'Adjustment scenario'!$D$10:$W$10,0))</f>
        <v>59.026867815732444</v>
      </c>
      <c r="R58" s="332">
        <f ca="1">INDEX(OFFSET('Adjustment scenario'!$D$1:$W$1,$D58-1,0),MATCH(R$4,'Adjustment scenario'!$D$10:$W$10,0))</f>
        <v>57.802291982818247</v>
      </c>
      <c r="S58" s="332">
        <f ca="1">INDEX(OFFSET('Adjustment scenario'!$D$1:$W$1,$D58-1,0),MATCH(S$4,'Adjustment scenario'!$D$10:$W$10,0))</f>
        <v>56.790330100508967</v>
      </c>
      <c r="T58" s="332">
        <f ca="1">INDEX(OFFSET('Adjustment scenario'!$D$1:$W$1,$D58-1,0),MATCH(T$4,'Adjustment scenario'!$D$10:$W$10,0))</f>
        <v>55.977034476616254</v>
      </c>
      <c r="U58" s="332">
        <f ca="1">INDEX(OFFSET('Adjustment scenario'!$D$1:$W$1,$D58-1,0),MATCH(U$4,'Adjustment scenario'!$D$10:$W$10,0))</f>
        <v>55.392400142926775</v>
      </c>
      <c r="V58" s="332">
        <f ca="1">INDEX(OFFSET('Adjustment scenario'!$D$1:$W$1,$D58-1,0),MATCH(V$4,'Adjustment scenario'!$D$10:$W$10,0))</f>
        <v>55.048814322300672</v>
      </c>
      <c r="W58" s="332">
        <f ca="1">INDEX(OFFSET('Adjustment scenario'!$D$1:$W$1,$D58-1,0),MATCH(W$4,'Adjustment scenario'!$D$10:$W$10,0))</f>
        <v>54.948375777158141</v>
      </c>
      <c r="X58" s="332">
        <f ca="1">INDEX(OFFSET('Adjustment scenario'!$D$1:$W$1,$D58-1,0),MATCH(X$4,'Adjustment scenario'!$D$10:$W$10,0))</f>
        <v>55.105753385165237</v>
      </c>
      <c r="Y58" s="271"/>
    </row>
    <row r="59" spans="1:25" x14ac:dyDescent="0.2">
      <c r="A59" s="271"/>
      <c r="B59" s="339">
        <f>B58+1</f>
        <v>2</v>
      </c>
      <c r="C59" s="346" t="s">
        <v>128</v>
      </c>
      <c r="D59" s="344">
        <v>102</v>
      </c>
      <c r="E59" s="345" t="s">
        <v>221</v>
      </c>
      <c r="F59" s="332">
        <f ca="1">INDEX(OFFSET('Adjustment scenario'!$D$1:$W$1,$D59-1,0),MATCH(F$4,'Adjustment scenario'!$D$10:$W$10,0))</f>
        <v>3.0580010029883016</v>
      </c>
      <c r="G59" s="332">
        <f ca="1">INDEX(OFFSET('Adjustment scenario'!$D$1:$W$1,$D59-1,0),MATCH(G$4,'Adjustment scenario'!$D$10:$W$10,0))</f>
        <v>4.3719460048068246</v>
      </c>
      <c r="H59" s="332">
        <f ca="1">INDEX(OFFSET('Adjustment scenario'!$D$1:$W$1,$D59-1,0),MATCH(H$4,'Adjustment scenario'!$D$10:$W$10,0))</f>
        <v>4.5004929839320518</v>
      </c>
      <c r="I59" s="332">
        <f ca="1">INDEX(OFFSET('Adjustment scenario'!$D$1:$W$1,$D59-1,0),MATCH(I$4,'Adjustment scenario'!$D$10:$W$10,0))</f>
        <v>4.5759657916840011</v>
      </c>
      <c r="J59" s="332">
        <f ca="1">INDEX(OFFSET('Adjustment scenario'!$D$1:$W$1,$D59-1,0),MATCH(J$4,'Adjustment scenario'!$D$10:$W$10,0))</f>
        <v>4.6145823022394827</v>
      </c>
      <c r="K59" s="332">
        <f ca="1">INDEX(OFFSET('Adjustment scenario'!$D$1:$W$1,$D59-1,0),MATCH(K$4,'Adjustment scenario'!$D$10:$W$10,0))</f>
        <v>4.6226425646089</v>
      </c>
      <c r="L59" s="332">
        <f ca="1">INDEX(OFFSET('Adjustment scenario'!$D$1:$W$1,$D59-1,0),MATCH(L$4,'Adjustment scenario'!$D$10:$W$10,0))</f>
        <v>4.5691368600102011</v>
      </c>
      <c r="M59" s="332">
        <f ca="1">INDEX(OFFSET('Adjustment scenario'!$D$1:$W$1,$D59-1,0),MATCH(M$4,'Adjustment scenario'!$D$10:$W$10,0))</f>
        <v>4.5046856643254136</v>
      </c>
      <c r="N59" s="332">
        <f ca="1">INDEX(OFFSET('Adjustment scenario'!$D$1:$W$1,$D59-1,0),MATCH(N$4,'Adjustment scenario'!$D$10:$W$10,0))</f>
        <v>4.4319459520729829</v>
      </c>
      <c r="O59" s="332">
        <f ca="1">INDEX(OFFSET('Adjustment scenario'!$D$1:$W$1,$D59-1,0),MATCH(O$4,'Adjustment scenario'!$D$10:$W$10,0))</f>
        <v>4.3747777823917922</v>
      </c>
      <c r="P59" s="332">
        <f ca="1">INDEX(OFFSET('Adjustment scenario'!$D$1:$W$1,$D59-1,0),MATCH(P$4,'Adjustment scenario'!$D$10:$W$10,0))</f>
        <v>4.3238708767695906</v>
      </c>
      <c r="Q59" s="332">
        <f ca="1">INDEX(OFFSET('Adjustment scenario'!$D$1:$W$1,$D59-1,0),MATCH(Q$4,'Adjustment scenario'!$D$10:$W$10,0))</f>
        <v>4.2157374979347315</v>
      </c>
      <c r="R59" s="332">
        <f ca="1">INDEX(OFFSET('Adjustment scenario'!$D$1:$W$1,$D59-1,0),MATCH(R$4,'Adjustment scenario'!$D$10:$W$10,0))</f>
        <v>4.1186788461539878</v>
      </c>
      <c r="S59" s="332">
        <f ca="1">INDEX(OFFSET('Adjustment scenario'!$D$1:$W$1,$D59-1,0),MATCH(S$4,'Adjustment scenario'!$D$10:$W$10,0))</f>
        <v>4.0347408201623471</v>
      </c>
      <c r="T59" s="332">
        <f ca="1">INDEX(OFFSET('Adjustment scenario'!$D$1:$W$1,$D59-1,0),MATCH(T$4,'Adjustment scenario'!$D$10:$W$10,0))</f>
        <v>3.9643794166418576</v>
      </c>
      <c r="U59" s="332">
        <f ca="1">INDEX(OFFSET('Adjustment scenario'!$D$1:$W$1,$D59-1,0),MATCH(U$4,'Adjustment scenario'!$D$10:$W$10,0))</f>
        <v>3.9096087289609307</v>
      </c>
      <c r="V59" s="332">
        <f ca="1">INDEX(OFFSET('Adjustment scenario'!$D$1:$W$1,$D59-1,0),MATCH(V$4,'Adjustment scenario'!$D$10:$W$10,0))</f>
        <v>3.8707824565939712</v>
      </c>
      <c r="W59" s="332">
        <f ca="1">INDEX(OFFSET('Adjustment scenario'!$D$1:$W$1,$D59-1,0),MATCH(W$4,'Adjustment scenario'!$D$10:$W$10,0))</f>
        <v>3.8479681219686035</v>
      </c>
      <c r="X59" s="332">
        <f ca="1">INDEX(OFFSET('Adjustment scenario'!$D$1:$W$1,$D59-1,0),MATCH(X$4,'Adjustment scenario'!$D$10:$W$10,0))</f>
        <v>3.8414895851028943</v>
      </c>
      <c r="Y59" s="271"/>
    </row>
    <row r="60" spans="1:25" x14ac:dyDescent="0.2">
      <c r="A60" s="271"/>
      <c r="B60" s="339">
        <f t="shared" ref="B60:B62" si="6">B59+1</f>
        <v>3</v>
      </c>
      <c r="C60" s="346" t="s">
        <v>129</v>
      </c>
      <c r="D60" s="344">
        <v>103</v>
      </c>
      <c r="E60" s="345" t="s">
        <v>221</v>
      </c>
      <c r="F60" s="332">
        <f ca="1">INDEX(OFFSET('Adjustment scenario'!$D$1:$W$1,$D60-1,0),MATCH(F$4,'Adjustment scenario'!$D$10:$W$10,0))</f>
        <v>3.782375114175264</v>
      </c>
      <c r="G60" s="332">
        <f ca="1">INDEX(OFFSET('Adjustment scenario'!$D$1:$W$1,$D60-1,0),MATCH(G$4,'Adjustment scenario'!$D$10:$W$10,0))</f>
        <v>4.0990544829312858</v>
      </c>
      <c r="H60" s="332">
        <f ca="1">INDEX(OFFSET('Adjustment scenario'!$D$1:$W$1,$D60-1,0),MATCH(H$4,'Adjustment scenario'!$D$10:$W$10,0))</f>
        <v>4.1739319155383994</v>
      </c>
      <c r="I60" s="332">
        <f ca="1">INDEX(OFFSET('Adjustment scenario'!$D$1:$W$1,$D60-1,0),MATCH(I$4,'Adjustment scenario'!$D$10:$W$10,0))</f>
        <v>4.1913356458815203</v>
      </c>
      <c r="J60" s="332">
        <f ca="1">INDEX(OFFSET('Adjustment scenario'!$D$1:$W$1,$D60-1,0),MATCH(J$4,'Adjustment scenario'!$D$10:$W$10,0))</f>
        <v>4.1714503499122033</v>
      </c>
      <c r="K60" s="332">
        <f ca="1">INDEX(OFFSET('Adjustment scenario'!$D$1:$W$1,$D60-1,0),MATCH(K$4,'Adjustment scenario'!$D$10:$W$10,0))</f>
        <v>4.1222592011112278</v>
      </c>
      <c r="L60" s="332">
        <f ca="1">INDEX(OFFSET('Adjustment scenario'!$D$1:$W$1,$D60-1,0),MATCH(L$4,'Adjustment scenario'!$D$10:$W$10,0))</f>
        <v>4.0177150826762285</v>
      </c>
      <c r="M60" s="332">
        <f ca="1">INDEX(OFFSET('Adjustment scenario'!$D$1:$W$1,$D60-1,0),MATCH(M$4,'Adjustment scenario'!$D$10:$W$10,0))</f>
        <v>3.9057417758152373</v>
      </c>
      <c r="N60" s="332">
        <f ca="1">INDEX(OFFSET('Adjustment scenario'!$D$1:$W$1,$D60-1,0),MATCH(N$4,'Adjustment scenario'!$D$10:$W$10,0))</f>
        <v>3.7890405261472577</v>
      </c>
      <c r="O60" s="332">
        <f ca="1">INDEX(OFFSET('Adjustment scenario'!$D$1:$W$1,$D60-1,0),MATCH(O$4,'Adjustment scenario'!$D$10:$W$10,0))</f>
        <v>3.6880599758760337</v>
      </c>
      <c r="P60" s="332">
        <f ca="1">INDEX(OFFSET('Adjustment scenario'!$D$1:$W$1,$D60-1,0),MATCH(P$4,'Adjustment scenario'!$D$10:$W$10,0))</f>
        <v>3.5952343924800703</v>
      </c>
      <c r="Q60" s="332">
        <f ca="1">INDEX(OFFSET('Adjustment scenario'!$D$1:$W$1,$D60-1,0),MATCH(Q$4,'Adjustment scenario'!$D$10:$W$10,0))</f>
        <v>3.510615866807751</v>
      </c>
      <c r="R60" s="332">
        <f ca="1">INDEX(OFFSET('Adjustment scenario'!$D$1:$W$1,$D60-1,0),MATCH(R$4,'Adjustment scenario'!$D$10:$W$10,0))</f>
        <v>3.4351549961694237</v>
      </c>
      <c r="S60" s="332">
        <f ca="1">INDEX(OFFSET('Adjustment scenario'!$D$1:$W$1,$D60-1,0),MATCH(S$4,'Adjustment scenario'!$D$10:$W$10,0))</f>
        <v>3.3706989324258316</v>
      </c>
      <c r="T60" s="332">
        <f ca="1">INDEX(OFFSET('Adjustment scenario'!$D$1:$W$1,$D60-1,0),MATCH(T$4,'Adjustment scenario'!$D$10:$W$10,0))</f>
        <v>3.3177424403505698</v>
      </c>
      <c r="U60" s="332">
        <f ca="1">INDEX(OFFSET('Adjustment scenario'!$D$1:$W$1,$D60-1,0),MATCH(U$4,'Adjustment scenario'!$D$10:$W$10,0))</f>
        <v>3.2780124692388513</v>
      </c>
      <c r="V60" s="332">
        <f ca="1">INDEX(OFFSET('Adjustment scenario'!$D$1:$W$1,$D60-1,0),MATCH(V$4,'Adjustment scenario'!$D$10:$W$10,0))</f>
        <v>3.2518556647080397</v>
      </c>
      <c r="W60" s="332">
        <f ca="1">INDEX(OFFSET('Adjustment scenario'!$D$1:$W$1,$D60-1,0),MATCH(W$4,'Adjustment scenario'!$D$10:$W$10,0))</f>
        <v>3.2393978420642773</v>
      </c>
      <c r="X60" s="332">
        <f ca="1">INDEX(OFFSET('Adjustment scenario'!$D$1:$W$1,$D60-1,0),MATCH(X$4,'Adjustment scenario'!$D$10:$W$10,0))</f>
        <v>3.2409771579161792</v>
      </c>
      <c r="Y60" s="271"/>
    </row>
    <row r="61" spans="1:25" x14ac:dyDescent="0.2">
      <c r="A61" s="271"/>
      <c r="B61" s="339">
        <f t="shared" si="6"/>
        <v>4</v>
      </c>
      <c r="C61" s="346" t="s">
        <v>130</v>
      </c>
      <c r="D61" s="344">
        <v>104</v>
      </c>
      <c r="E61" s="345" t="s">
        <v>221</v>
      </c>
      <c r="F61" s="332">
        <f ca="1">INDEX(OFFSET('Adjustment scenario'!$D$1:$W$1,$D61-1,0),MATCH(F$4,'Adjustment scenario'!$D$10:$W$10,0))</f>
        <v>8.5464808631096361</v>
      </c>
      <c r="G61" s="332">
        <f ca="1">INDEX(OFFSET('Adjustment scenario'!$D$1:$W$1,$D61-1,0),MATCH(G$4,'Adjustment scenario'!$D$10:$W$10,0))</f>
        <v>5.0102104556098732</v>
      </c>
      <c r="H61" s="332">
        <f ca="1">INDEX(OFFSET('Adjustment scenario'!$D$1:$W$1,$D61-1,0),MATCH(H$4,'Adjustment scenario'!$D$10:$W$10,0))</f>
        <v>3.8270233478064206</v>
      </c>
      <c r="I61" s="332">
        <f ca="1">INDEX(OFFSET('Adjustment scenario'!$D$1:$W$1,$D61-1,0),MATCH(I$4,'Adjustment scenario'!$D$10:$W$10,0))</f>
        <v>3.1752761146254223</v>
      </c>
      <c r="J61" s="332">
        <f ca="1">INDEX(OFFSET('Adjustment scenario'!$D$1:$W$1,$D61-1,0),MATCH(J$4,'Adjustment scenario'!$D$10:$W$10,0))</f>
        <v>2.6313572055557386</v>
      </c>
      <c r="K61" s="332">
        <f ca="1">INDEX(OFFSET('Adjustment scenario'!$D$1:$W$1,$D61-1,0),MATCH(K$4,'Adjustment scenario'!$D$10:$W$10,0))</f>
        <v>2.0313165295520519</v>
      </c>
      <c r="L61" s="332">
        <f ca="1">INDEX(OFFSET('Adjustment scenario'!$D$1:$W$1,$D61-1,0),MATCH(L$4,'Adjustment scenario'!$D$10:$W$10,0))</f>
        <v>1.783803263185773</v>
      </c>
      <c r="M61" s="332">
        <f ca="1">INDEX(OFFSET('Adjustment scenario'!$D$1:$W$1,$D61-1,0),MATCH(M$4,'Adjustment scenario'!$D$10:$W$10,0))</f>
        <v>1.550361269956525</v>
      </c>
      <c r="N61" s="332">
        <f ca="1">INDEX(OFFSET('Adjustment scenario'!$D$1:$W$1,$D61-1,0),MATCH(N$4,'Adjustment scenario'!$D$10:$W$10,0))</f>
        <v>1.3396495960071115</v>
      </c>
      <c r="O61" s="332">
        <f ca="1">INDEX(OFFSET('Adjustment scenario'!$D$1:$W$1,$D61-1,0),MATCH(O$4,'Adjustment scenario'!$D$10:$W$10,0))</f>
        <v>1.3401610460505429</v>
      </c>
      <c r="P61" s="332">
        <f ca="1">INDEX(OFFSET('Adjustment scenario'!$D$1:$W$1,$D61-1,0),MATCH(P$4,'Adjustment scenario'!$D$10:$W$10,0))</f>
        <v>1.3705370734080791</v>
      </c>
      <c r="Q61" s="332">
        <f ca="1">INDEX(OFFSET('Adjustment scenario'!$D$1:$W$1,$D61-1,0),MATCH(Q$4,'Adjustment scenario'!$D$10:$W$10,0))</f>
        <v>1.4226296567421823</v>
      </c>
      <c r="R61" s="332">
        <f ca="1">INDEX(OFFSET('Adjustment scenario'!$D$1:$W$1,$D61-1,0),MATCH(R$4,'Adjustment scenario'!$D$10:$W$10,0))</f>
        <v>1.5105826326854546</v>
      </c>
      <c r="S61" s="332">
        <f ca="1">INDEX(OFFSET('Adjustment scenario'!$D$1:$W$1,$D61-1,0),MATCH(S$4,'Adjustment scenario'!$D$10:$W$10,0))</f>
        <v>1.6299292958216118</v>
      </c>
      <c r="T61" s="332">
        <f ca="1">INDEX(OFFSET('Adjustment scenario'!$D$1:$W$1,$D61-1,0),MATCH(T$4,'Adjustment scenario'!$D$10:$W$10,0))</f>
        <v>1.761695538839257</v>
      </c>
      <c r="U61" s="332">
        <f ca="1">INDEX(OFFSET('Adjustment scenario'!$D$1:$W$1,$D61-1,0),MATCH(U$4,'Adjustment scenario'!$D$10:$W$10,0))</f>
        <v>1.9081933075624731</v>
      </c>
      <c r="V61" s="332">
        <f ca="1">INDEX(OFFSET('Adjustment scenario'!$D$1:$W$1,$D61-1,0),MATCH(V$4,'Adjustment scenario'!$D$10:$W$10,0))</f>
        <v>2.0764483490102266</v>
      </c>
      <c r="W61" s="332">
        <f ca="1">INDEX(OFFSET('Adjustment scenario'!$D$1:$W$1,$D61-1,0),MATCH(W$4,'Adjustment scenario'!$D$10:$W$10,0))</f>
        <v>2.2674972747201476</v>
      </c>
      <c r="X61" s="332">
        <f ca="1">INDEX(OFFSET('Adjustment scenario'!$D$1:$W$1,$D61-1,0),MATCH(X$4,'Adjustment scenario'!$D$10:$W$10,0))</f>
        <v>2.4908657246989847</v>
      </c>
      <c r="Y61" s="271"/>
    </row>
    <row r="62" spans="1:25" x14ac:dyDescent="0.2">
      <c r="A62" s="271"/>
      <c r="B62" s="339">
        <f t="shared" si="6"/>
        <v>5</v>
      </c>
      <c r="C62" s="346" t="s">
        <v>131</v>
      </c>
      <c r="D62" s="344">
        <v>105</v>
      </c>
      <c r="E62" s="345" t="s">
        <v>221</v>
      </c>
      <c r="F62" s="332">
        <f ca="1">INDEX(OFFSET('Adjustment scenario'!$D$1:$W$1,$D62-1,0),MATCH(F$4,'Adjustment scenario'!$D$10:$W$10,0))</f>
        <v>0.58951668669685331</v>
      </c>
      <c r="G62" s="332">
        <f ca="1">INDEX(OFFSET('Adjustment scenario'!$D$1:$W$1,$D62-1,0),MATCH(G$4,'Adjustment scenario'!$D$10:$W$10,0))</f>
        <v>0.34559284865354467</v>
      </c>
      <c r="H62" s="332">
        <f ca="1">INDEX(OFFSET('Adjustment scenario'!$D$1:$W$1,$D62-1,0),MATCH(H$4,'Adjustment scenario'!$D$10:$W$10,0))</f>
        <v>0.26397931032041894</v>
      </c>
      <c r="I62" s="332">
        <f ca="1">INDEX(OFFSET('Adjustment scenario'!$D$1:$W$1,$D62-1,0),MATCH(I$4,'Adjustment scenario'!$D$10:$W$10,0))</f>
        <v>0.21902327805137731</v>
      </c>
      <c r="J62" s="332">
        <f ca="1">INDEX(OFFSET('Adjustment scenario'!$D$1:$W$1,$D62-1,0),MATCH(J$4,'Adjustment scenario'!$D$10:$W$10,0))</f>
        <v>0.18150499675613799</v>
      </c>
      <c r="K62" s="332">
        <f ca="1">INDEX(OFFSET('Adjustment scenario'!$D$1:$W$1,$D62-1,0),MATCH(K$4,'Adjustment scenario'!$D$10:$W$10,0))</f>
        <v>0.14011556444278611</v>
      </c>
      <c r="L62" s="332">
        <f ca="1">INDEX(OFFSET('Adjustment scenario'!$D$1:$W$1,$D62-1,0),MATCH(L$4,'Adjustment scenario'!$D$10:$W$10,0))</f>
        <v>0.12304266589672022</v>
      </c>
      <c r="M62" s="332">
        <f ca="1">INDEX(OFFSET('Adjustment scenario'!$D$1:$W$1,$D62-1,0),MATCH(M$4,'Adjustment scenario'!$D$10:$W$10,0))</f>
        <v>0.10694037156193324</v>
      </c>
      <c r="N62" s="332">
        <f ca="1">INDEX(OFFSET('Adjustment scenario'!$D$1:$W$1,$D62-1,0),MATCH(N$4,'Adjustment scenario'!$D$10:$W$10,0))</f>
        <v>9.2405962620448853E-2</v>
      </c>
      <c r="O62" s="332">
        <f ca="1">INDEX(OFFSET('Adjustment scenario'!$D$1:$W$1,$D62-1,0),MATCH(O$4,'Adjustment scenario'!$D$10:$W$10,0))</f>
        <v>9.2441241273714919E-2</v>
      </c>
      <c r="P62" s="332">
        <f ca="1">INDEX(OFFSET('Adjustment scenario'!$D$1:$W$1,$D62-1,0),MATCH(P$4,'Adjustment scenario'!$D$10:$W$10,0))</f>
        <v>9.4536510108882255E-2</v>
      </c>
      <c r="Q62" s="332">
        <f ca="1">INDEX(OFFSET('Adjustment scenario'!$D$1:$W$1,$D62-1,0),MATCH(Q$4,'Adjustment scenario'!$D$10:$W$10,0))</f>
        <v>9.8129737265238007E-2</v>
      </c>
      <c r="R62" s="332">
        <f ca="1">INDEX(OFFSET('Adjustment scenario'!$D$1:$W$1,$D62-1,0),MATCH(R$4,'Adjustment scenario'!$D$10:$W$10,0))</f>
        <v>0.10419653221788479</v>
      </c>
      <c r="S62" s="332">
        <f ca="1">INDEX(OFFSET('Adjustment scenario'!$D$1:$W$1,$D62-1,0),MATCH(S$4,'Adjustment scenario'!$D$10:$W$10,0))</f>
        <v>0.11242879185167674</v>
      </c>
      <c r="T62" s="332">
        <f ca="1">INDEX(OFFSET('Adjustment scenario'!$D$1:$W$1,$D62-1,0),MATCH(T$4,'Adjustment scenario'!$D$10:$W$10,0))</f>
        <v>0.12151772567677295</v>
      </c>
      <c r="U62" s="332">
        <f ca="1">INDEX(OFFSET('Adjustment scenario'!$D$1:$W$1,$D62-1,0),MATCH(U$4,'Adjustment scenario'!$D$10:$W$10,0))</f>
        <v>0.13162280642398111</v>
      </c>
      <c r="V62" s="332">
        <f ca="1">INDEX(OFFSET('Adjustment scenario'!$D$1:$W$1,$D62-1,0),MATCH(V$4,'Adjustment scenario'!$D$10:$W$10,0))</f>
        <v>0.1432286540404504</v>
      </c>
      <c r="W62" s="332">
        <f ca="1">INDEX(OFFSET('Adjustment scenario'!$D$1:$W$1,$D62-1,0),MATCH(W$4,'Adjustment scenario'!$D$10:$W$10,0))</f>
        <v>0.15640677161720082</v>
      </c>
      <c r="X62" s="332">
        <f ca="1">INDEX(OFFSET('Adjustment scenario'!$D$1:$W$1,$D62-1,0),MATCH(X$4,'Adjustment scenario'!$D$10:$W$10,0))</f>
        <v>0.17181421599732247</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206</v>
      </c>
      <c r="B1" t="s">
        <v>207</v>
      </c>
      <c r="C1" t="s">
        <v>208</v>
      </c>
      <c r="D1" t="s">
        <v>209</v>
      </c>
      <c r="E1" t="s">
        <v>210</v>
      </c>
      <c r="F1" t="s">
        <v>211</v>
      </c>
      <c r="G1" t="s">
        <v>212</v>
      </c>
      <c r="H1" t="s">
        <v>213</v>
      </c>
      <c r="I1" t="s">
        <v>214</v>
      </c>
      <c r="J1" t="s">
        <v>215</v>
      </c>
      <c r="K1" t="s">
        <v>216</v>
      </c>
      <c r="L1" t="s">
        <v>217</v>
      </c>
    </row>
    <row r="2" spans="1:14" x14ac:dyDescent="0.2">
      <c r="A2" t="str">
        <f>'Adjustment scenario'!C$3</f>
        <v>HU</v>
      </c>
      <c r="B2">
        <v>2021</v>
      </c>
      <c r="C2" s="7" cm="1">
        <f t="array" ref="C2:C22">TRANSPOSE('Adjust. no safeguard'!C12:W12)</f>
        <v>-4.8520380000000003</v>
      </c>
      <c r="D2" s="7">
        <v>358.46159999999998</v>
      </c>
      <c r="E2" s="7" cm="1">
        <f t="array" ref="E2:E22">TRANSPOSE('Adjust. no safeguard'!C62:W62)</f>
        <v>0</v>
      </c>
      <c r="F2" s="7" cm="1">
        <f t="array" ref="F2:F22">TRANSPOSE('Adjust. no safeguard'!C24:W24)</f>
        <v>7.0612209999999997</v>
      </c>
      <c r="G2" s="7" cm="1">
        <f t="array" ref="G2:G22">TRANSPOSE('Adjust. no safeguard'!C42:W42)</f>
        <v>6.4392469999999999</v>
      </c>
      <c r="H2" s="7" cm="1">
        <f t="array" ref="H2:H22">TRANSPOSE('Adjust. no safeguard'!C14:W14)</f>
        <v>-0.1086859</v>
      </c>
      <c r="I2" s="7" cm="1">
        <f t="array" ref="I2:I22">TRANSPOSE('Adjust. no safeguard'!C15:W15)</f>
        <v>-0.1919507</v>
      </c>
      <c r="J2" s="7" cm="1">
        <f t="array" ref="J2:J22">TRANSPOSE('Adjust. no safeguard'!C64:W64)+TRANSPOSE('Adjust. no safeguard'!C65:W65)+TRANSPOSE('Adjust. no safeguard'!C66:W66)</f>
        <v>0</v>
      </c>
      <c r="K2" s="7" cm="1">
        <f t="array" ref="K2:K22">TRANSPOSE('Adjust. no safeguard'!C57:W57)</f>
        <v>76.688640000000007</v>
      </c>
      <c r="L2" s="7" cm="1">
        <f t="array" ref="L2:L22">TRANSPOSE('Adjust. no safeguard'!C36:W36)</f>
        <v>3.2392629999999998</v>
      </c>
      <c r="M2" s="7"/>
      <c r="N2" s="7"/>
    </row>
    <row r="3" spans="1:14" x14ac:dyDescent="0.2">
      <c r="A3" t="str">
        <f>'Adjustment scenario'!C$3</f>
        <v>HU</v>
      </c>
      <c r="B3">
        <v>2022</v>
      </c>
      <c r="C3" s="7">
        <v>-4.121645</v>
      </c>
      <c r="D3" s="7">
        <v>390.77690000000001</v>
      </c>
      <c r="E3" s="7">
        <v>-0.7298184934698434</v>
      </c>
      <c r="F3" s="7">
        <v>4.5834080000000004</v>
      </c>
      <c r="G3" s="7">
        <v>14.231339999999999</v>
      </c>
      <c r="H3" s="7">
        <v>0</v>
      </c>
      <c r="I3" s="7">
        <v>9.56404E-2</v>
      </c>
      <c r="J3" s="7">
        <v>0</v>
      </c>
      <c r="K3" s="7">
        <v>74.056958506530165</v>
      </c>
      <c r="L3" s="7">
        <v>4.4184200000000002</v>
      </c>
      <c r="M3" s="7"/>
      <c r="N3" s="7"/>
    </row>
    <row r="4" spans="1:14" x14ac:dyDescent="0.2">
      <c r="A4" t="str">
        <f>'Adjustment scenario'!C$3</f>
        <v>HU</v>
      </c>
      <c r="B4">
        <v>2023</v>
      </c>
      <c r="C4" s="7">
        <v>-1.336916</v>
      </c>
      <c r="D4" s="7">
        <v>381.85270000000003</v>
      </c>
      <c r="E4" s="7">
        <v>0.64662902020442647</v>
      </c>
      <c r="F4" s="7">
        <v>-0.90768590000000005</v>
      </c>
      <c r="G4" s="7">
        <v>14.74901</v>
      </c>
      <c r="H4" s="7">
        <v>0</v>
      </c>
      <c r="I4" s="7">
        <v>2.4978720000000001</v>
      </c>
      <c r="J4" s="7">
        <v>0</v>
      </c>
      <c r="K4" s="7">
        <v>73.520357526734585</v>
      </c>
      <c r="L4" s="7">
        <v>7.2293640000000003</v>
      </c>
      <c r="M4" s="7"/>
      <c r="N4" s="7"/>
    </row>
    <row r="5" spans="1:14" x14ac:dyDescent="0.2">
      <c r="A5" t="str">
        <f>'Adjustment scenario'!C$3</f>
        <v>HU</v>
      </c>
      <c r="B5">
        <v>2024</v>
      </c>
      <c r="C5" s="7">
        <v>3.4885699999999999E-2</v>
      </c>
      <c r="D5" s="7">
        <v>392.25099999999998</v>
      </c>
      <c r="E5" s="7">
        <v>0.55205494679130895</v>
      </c>
      <c r="F5" s="7">
        <v>2.4166650000000001</v>
      </c>
      <c r="G5" s="7">
        <v>5.300141</v>
      </c>
      <c r="H5" s="7">
        <v>0</v>
      </c>
      <c r="I5" s="7">
        <v>-0.13437760000000001</v>
      </c>
      <c r="J5" s="7">
        <v>0</v>
      </c>
      <c r="K5" s="7">
        <v>74.287964673525892</v>
      </c>
      <c r="L5" s="7">
        <v>7.2143069999999998</v>
      </c>
      <c r="M5" s="7"/>
      <c r="N5" s="7"/>
    </row>
    <row r="6" spans="1:14" x14ac:dyDescent="0.2">
      <c r="A6" t="str">
        <f>'Adjustment scenario'!C$3</f>
        <v>HU</v>
      </c>
      <c r="B6">
        <v>2025</v>
      </c>
      <c r="C6" s="7">
        <v>0.69488570000000005</v>
      </c>
      <c r="D6" s="7">
        <v>393.66</v>
      </c>
      <c r="E6" s="7">
        <v>0.41499741421064906</v>
      </c>
      <c r="F6" s="7">
        <v>2.7841180000000021</v>
      </c>
      <c r="G6" s="7">
        <v>3.7999740000000002</v>
      </c>
      <c r="H6" s="7">
        <v>0</v>
      </c>
      <c r="I6" s="7">
        <v>0.1957401</v>
      </c>
      <c r="J6" s="7">
        <v>0</v>
      </c>
      <c r="K6" s="7">
        <v>73.854222000134087</v>
      </c>
      <c r="L6" s="7">
        <v>5.985741</v>
      </c>
      <c r="M6" s="7"/>
      <c r="N6" s="7"/>
    </row>
    <row r="7" spans="1:14" x14ac:dyDescent="0.2">
      <c r="A7" t="str">
        <f>'Adjustment scenario'!C$3</f>
        <v>HU</v>
      </c>
      <c r="B7">
        <v>2026</v>
      </c>
      <c r="C7" s="7">
        <v>1.3548857000000001</v>
      </c>
      <c r="D7" s="7">
        <v>393.66</v>
      </c>
      <c r="E7" s="7">
        <v>0.49393725891369344</v>
      </c>
      <c r="F7" s="7">
        <v>2.0792775364796734</v>
      </c>
      <c r="G7" s="7">
        <v>3.72622725</v>
      </c>
      <c r="H7" s="7">
        <v>0</v>
      </c>
      <c r="I7" s="7">
        <v>0</v>
      </c>
      <c r="J7" s="7">
        <v>0</v>
      </c>
      <c r="K7" s="7">
        <v>73.145093744834028</v>
      </c>
      <c r="L7" s="7">
        <v>6.1006442626004187</v>
      </c>
      <c r="M7" s="7"/>
      <c r="N7" s="7"/>
    </row>
    <row r="8" spans="1:14" x14ac:dyDescent="0.2">
      <c r="A8" t="str">
        <f>'Adjustment scenario'!C$3</f>
        <v>HU</v>
      </c>
      <c r="B8">
        <v>2027</v>
      </c>
      <c r="C8" s="7">
        <v>2.0148857000000002</v>
      </c>
      <c r="D8" s="7">
        <v>393.66</v>
      </c>
      <c r="E8" s="7">
        <v>0.54647424106093156</v>
      </c>
      <c r="F8" s="7">
        <v>2.0016404093588402</v>
      </c>
      <c r="G8" s="7">
        <v>3.6524805000000002</v>
      </c>
      <c r="H8" s="7">
        <v>0</v>
      </c>
      <c r="I8" s="7">
        <v>0</v>
      </c>
      <c r="J8" s="7">
        <v>0</v>
      </c>
      <c r="K8" s="7">
        <v>71.995695653916613</v>
      </c>
      <c r="L8" s="7">
        <v>6.1883468017334327</v>
      </c>
      <c r="M8" s="7"/>
      <c r="N8" s="7"/>
    </row>
    <row r="9" spans="1:14" x14ac:dyDescent="0.2">
      <c r="A9" t="str">
        <f>'Adjustment scenario'!C$3</f>
        <v>HU</v>
      </c>
      <c r="B9">
        <v>2028</v>
      </c>
      <c r="C9" s="7">
        <v>2.6748857000000004</v>
      </c>
      <c r="D9" s="7">
        <v>393.66</v>
      </c>
      <c r="E9" s="7">
        <v>0.5814435726708429</v>
      </c>
      <c r="F9" s="7">
        <v>1.9479080570616647</v>
      </c>
      <c r="G9" s="7">
        <v>3.57873375</v>
      </c>
      <c r="H9" s="7">
        <v>0</v>
      </c>
      <c r="I9" s="7">
        <v>0</v>
      </c>
      <c r="J9" s="7">
        <v>0</v>
      </c>
      <c r="K9" s="7">
        <v>70.351529341469288</v>
      </c>
      <c r="L9" s="7">
        <v>6.2553067442008849</v>
      </c>
      <c r="M9" s="7"/>
      <c r="N9" s="7"/>
    </row>
    <row r="10" spans="1:14" x14ac:dyDescent="0.2">
      <c r="A10" t="str">
        <f>'Adjustment scenario'!C$3</f>
        <v>HU</v>
      </c>
      <c r="B10">
        <v>2029</v>
      </c>
      <c r="C10" s="7">
        <v>2.6748857000000004</v>
      </c>
      <c r="D10" s="7">
        <v>393.66</v>
      </c>
      <c r="E10" s="7">
        <v>0.38762904844722695</v>
      </c>
      <c r="F10" s="7">
        <v>2.4970158889263017</v>
      </c>
      <c r="G10" s="7">
        <v>3.5049869999999999</v>
      </c>
      <c r="H10" s="7">
        <v>0</v>
      </c>
      <c r="I10" s="7">
        <v>0</v>
      </c>
      <c r="J10" s="7">
        <v>1.3075000000000836E-2</v>
      </c>
      <c r="K10" s="7">
        <v>68.220207862620029</v>
      </c>
      <c r="L10" s="7">
        <v>6.3049549272222096</v>
      </c>
      <c r="M10" s="7"/>
      <c r="N10" s="7"/>
    </row>
    <row r="11" spans="1:14" x14ac:dyDescent="0.2">
      <c r="A11" t="str">
        <f>'Adjustment scenario'!C$3</f>
        <v>HU</v>
      </c>
      <c r="B11">
        <v>2030</v>
      </c>
      <c r="C11" s="7">
        <v>2.6748857000000004</v>
      </c>
      <c r="D11" s="7">
        <v>393.66</v>
      </c>
      <c r="E11" s="7">
        <v>0.19381452422361095</v>
      </c>
      <c r="F11" s="7">
        <v>2.5001648587380521</v>
      </c>
      <c r="G11" s="7">
        <v>3.4312402500000001</v>
      </c>
      <c r="H11" s="7">
        <v>0</v>
      </c>
      <c r="I11" s="7">
        <v>0</v>
      </c>
      <c r="J11" s="7">
        <v>5.7049000000000571E-2</v>
      </c>
      <c r="K11" s="7">
        <v>66.005551885247954</v>
      </c>
      <c r="L11" s="7">
        <v>6.3425560164202812</v>
      </c>
      <c r="M11" s="7"/>
      <c r="N11" s="7"/>
    </row>
    <row r="12" spans="1:14" x14ac:dyDescent="0.2">
      <c r="A12" t="str">
        <f>'Adjustment scenario'!C$3</f>
        <v>HU</v>
      </c>
      <c r="B12">
        <v>2031</v>
      </c>
      <c r="C12" s="7">
        <v>2.6748857000000004</v>
      </c>
      <c r="D12" s="7">
        <v>393.66</v>
      </c>
      <c r="E12" s="7">
        <v>0</v>
      </c>
      <c r="F12" s="7">
        <v>2.4621679344178693</v>
      </c>
      <c r="G12" s="7">
        <v>3.3574934999999999</v>
      </c>
      <c r="H12" s="7">
        <v>0</v>
      </c>
      <c r="I12" s="7">
        <v>0</v>
      </c>
      <c r="J12" s="7">
        <v>0.13693399999999989</v>
      </c>
      <c r="K12" s="7">
        <v>63.758873845840455</v>
      </c>
      <c r="L12" s="7">
        <v>6.3696613556191437</v>
      </c>
      <c r="M12" s="7"/>
      <c r="N12" s="7"/>
    </row>
    <row r="13" spans="1:14" x14ac:dyDescent="0.2">
      <c r="A13" t="str">
        <f>'Adjustment scenario'!C$3</f>
        <v>HU</v>
      </c>
      <c r="B13">
        <v>2032</v>
      </c>
      <c r="C13" s="7">
        <v>2.6748857000000004</v>
      </c>
      <c r="D13" s="7">
        <v>393.66</v>
      </c>
      <c r="E13" s="7">
        <v>-4.4456428478500952E-7</v>
      </c>
      <c r="F13" s="7">
        <v>1.89752700000001</v>
      </c>
      <c r="G13" s="7">
        <v>3.2837467499999997</v>
      </c>
      <c r="H13" s="7">
        <v>0</v>
      </c>
      <c r="I13" s="7">
        <v>0</v>
      </c>
      <c r="J13" s="7">
        <v>0.23772799999999972</v>
      </c>
      <c r="K13" s="7">
        <v>62.014797976032192</v>
      </c>
      <c r="L13" s="7">
        <v>6.3876199729912395</v>
      </c>
      <c r="M13" s="7"/>
      <c r="N13" s="7"/>
    </row>
    <row r="14" spans="1:14" x14ac:dyDescent="0.2">
      <c r="A14" t="str">
        <f>'Adjustment scenario'!C$3</f>
        <v>HU</v>
      </c>
      <c r="B14">
        <v>2033</v>
      </c>
      <c r="C14" s="7">
        <v>2.6748857000000004</v>
      </c>
      <c r="D14" s="7">
        <v>393.66</v>
      </c>
      <c r="E14" s="7">
        <v>-1.7784514113383666E-6</v>
      </c>
      <c r="F14" s="7">
        <v>1.882687999999999</v>
      </c>
      <c r="G14" s="7">
        <v>3.21</v>
      </c>
      <c r="H14" s="7">
        <v>0</v>
      </c>
      <c r="I14" s="7">
        <v>0</v>
      </c>
      <c r="J14" s="7">
        <v>0.36675200000000041</v>
      </c>
      <c r="K14" s="7">
        <v>60.440781226385973</v>
      </c>
      <c r="L14" s="7">
        <v>6.3979038366394372</v>
      </c>
      <c r="M14" s="7"/>
      <c r="N14" s="7"/>
    </row>
    <row r="15" spans="1:14" x14ac:dyDescent="0.2">
      <c r="A15" t="str">
        <f>'Adjustment scenario'!C$3</f>
        <v>HU</v>
      </c>
      <c r="B15">
        <v>2034</v>
      </c>
      <c r="C15" s="7">
        <v>2.6748857000000004</v>
      </c>
      <c r="D15" s="7">
        <v>393.66</v>
      </c>
      <c r="E15" s="7">
        <v>-2.6680410781354527E-6</v>
      </c>
      <c r="F15" s="7">
        <v>1.8447150000000079</v>
      </c>
      <c r="G15" s="7">
        <v>3.1995</v>
      </c>
      <c r="H15" s="7">
        <v>0</v>
      </c>
      <c r="I15" s="7">
        <v>0</v>
      </c>
      <c r="J15" s="7">
        <v>0.52084700000000028</v>
      </c>
      <c r="K15" s="7">
        <v>59.026867815732409</v>
      </c>
      <c r="L15" s="7">
        <v>6.390278985841106</v>
      </c>
      <c r="M15" s="7"/>
      <c r="N15" s="7"/>
    </row>
    <row r="16" spans="1:14" x14ac:dyDescent="0.2">
      <c r="A16" t="str">
        <f>'Adjustment scenario'!C$3</f>
        <v>HU</v>
      </c>
      <c r="B16">
        <v>2035</v>
      </c>
      <c r="C16" s="7">
        <v>2.6748857000000004</v>
      </c>
      <c r="D16" s="7">
        <v>393.66</v>
      </c>
      <c r="E16" s="7">
        <v>-1.7781196076205319E-6</v>
      </c>
      <c r="F16" s="7">
        <v>1.8067389999999905</v>
      </c>
      <c r="G16" s="7">
        <v>3.1890000000000001</v>
      </c>
      <c r="H16" s="7">
        <v>0</v>
      </c>
      <c r="I16" s="7">
        <v>0</v>
      </c>
      <c r="J16" s="7">
        <v>0.70771099999999976</v>
      </c>
      <c r="K16" s="7">
        <v>57.802291982818204</v>
      </c>
      <c r="L16" s="7">
        <v>6.3750030271510161</v>
      </c>
      <c r="M16" s="7"/>
      <c r="N16" s="7"/>
    </row>
    <row r="17" spans="1:14" x14ac:dyDescent="0.2">
      <c r="A17" t="str">
        <f>'Adjustment scenario'!C$3</f>
        <v>HU</v>
      </c>
      <c r="B17">
        <v>2036</v>
      </c>
      <c r="C17" s="7">
        <v>2.6748857000000004</v>
      </c>
      <c r="D17" s="7">
        <v>393.66</v>
      </c>
      <c r="E17" s="7">
        <v>-2.2232463503524258E-6</v>
      </c>
      <c r="F17" s="7">
        <v>1.7687699999999973</v>
      </c>
      <c r="G17" s="7">
        <v>3.1785000000000001</v>
      </c>
      <c r="H17" s="7">
        <v>0</v>
      </c>
      <c r="I17" s="7">
        <v>0</v>
      </c>
      <c r="J17" s="7">
        <v>0.92027599999999943</v>
      </c>
      <c r="K17" s="7">
        <v>56.790330100508918</v>
      </c>
      <c r="L17" s="7">
        <v>6.3525864496956164</v>
      </c>
      <c r="M17" s="7"/>
      <c r="N17" s="7"/>
    </row>
    <row r="18" spans="1:14" x14ac:dyDescent="0.2">
      <c r="A18" t="str">
        <f>'Adjustment scenario'!C$3</f>
        <v>HU</v>
      </c>
      <c r="B18">
        <v>2037</v>
      </c>
      <c r="C18" s="7">
        <v>2.6748857000000004</v>
      </c>
      <c r="D18" s="7">
        <v>393.66</v>
      </c>
      <c r="E18" s="7">
        <v>-8.8776525430933617E-7</v>
      </c>
      <c r="F18" s="7">
        <v>1.7610829999999966</v>
      </c>
      <c r="G18" s="7">
        <v>3.1680000000000001</v>
      </c>
      <c r="H18" s="7">
        <v>0</v>
      </c>
      <c r="I18" s="7">
        <v>0</v>
      </c>
      <c r="J18" s="7">
        <v>1.1375199999999999</v>
      </c>
      <c r="K18" s="7">
        <v>55.977034476616197</v>
      </c>
      <c r="L18" s="7">
        <v>6.3234206340670367</v>
      </c>
      <c r="M18" s="7"/>
      <c r="N18" s="7"/>
    </row>
    <row r="19" spans="1:14" x14ac:dyDescent="0.2">
      <c r="A19" t="str">
        <f>'Adjustment scenario'!C$3</f>
        <v>HU</v>
      </c>
      <c r="B19">
        <v>2038</v>
      </c>
      <c r="C19" s="7">
        <v>2.6748857000000004</v>
      </c>
      <c r="D19" s="7">
        <v>393.66</v>
      </c>
      <c r="E19" s="7">
        <v>-8.8776525430933617E-7</v>
      </c>
      <c r="F19" s="7">
        <v>1.7076499999999939</v>
      </c>
      <c r="G19" s="7">
        <v>3.1574999999999998</v>
      </c>
      <c r="H19" s="7">
        <v>0</v>
      </c>
      <c r="I19" s="7">
        <v>0</v>
      </c>
      <c r="J19" s="7">
        <v>1.359953999999999</v>
      </c>
      <c r="K19" s="7">
        <v>55.392400142926711</v>
      </c>
      <c r="L19" s="7">
        <v>6.287884200570252</v>
      </c>
      <c r="M19" s="7"/>
      <c r="N19" s="7"/>
    </row>
    <row r="20" spans="1:14" x14ac:dyDescent="0.2">
      <c r="A20" t="str">
        <f>'Adjustment scenario'!C$3</f>
        <v>HU</v>
      </c>
      <c r="B20">
        <v>2039</v>
      </c>
      <c r="C20" s="7">
        <v>2.6748857000000004</v>
      </c>
      <c r="D20" s="7">
        <v>393.66</v>
      </c>
      <c r="E20" s="7">
        <v>-1.3333990923403151E-6</v>
      </c>
      <c r="F20" s="7">
        <v>1.6529680000000102</v>
      </c>
      <c r="G20" s="7">
        <v>3.1469999999999998</v>
      </c>
      <c r="H20" s="7">
        <v>0</v>
      </c>
      <c r="I20" s="7">
        <v>0</v>
      </c>
      <c r="J20" s="7">
        <v>1.5946789999999984</v>
      </c>
      <c r="K20" s="7">
        <v>55.048814322300601</v>
      </c>
      <c r="L20" s="7">
        <v>6.2463352685627429</v>
      </c>
      <c r="M20" s="7"/>
      <c r="N20" s="7"/>
    </row>
    <row r="21" spans="1:14" x14ac:dyDescent="0.2">
      <c r="A21" t="str">
        <f>'Adjustment scenario'!C$3</f>
        <v>HU</v>
      </c>
      <c r="B21">
        <v>2040</v>
      </c>
      <c r="C21" s="7">
        <v>2.6748857000000004</v>
      </c>
      <c r="D21" s="7">
        <v>393.66</v>
      </c>
      <c r="E21" s="7">
        <v>-2.6707506693535168E-6</v>
      </c>
      <c r="F21" s="7">
        <v>1.6187589999999918</v>
      </c>
      <c r="G21" s="7">
        <v>3.1364999999999998</v>
      </c>
      <c r="H21" s="7">
        <v>0</v>
      </c>
      <c r="I21" s="7">
        <v>0</v>
      </c>
      <c r="J21" s="7">
        <v>1.8427530000000003</v>
      </c>
      <c r="K21" s="7">
        <v>54.948375777158063</v>
      </c>
      <c r="L21" s="7">
        <v>6.199090271244744</v>
      </c>
      <c r="M21" s="7"/>
      <c r="N21" s="7"/>
    </row>
    <row r="22" spans="1:14" x14ac:dyDescent="0.2">
      <c r="A22" t="str">
        <f>'Adjustment scenario'!C$3</f>
        <v>HU</v>
      </c>
      <c r="B22">
        <v>2041</v>
      </c>
      <c r="C22" s="7">
        <v>2.6748857000000004</v>
      </c>
      <c r="D22" s="7">
        <v>393.66</v>
      </c>
      <c r="E22" s="7">
        <v>-3.1166118623859874E-6</v>
      </c>
      <c r="F22" s="7">
        <v>1.601132999999999</v>
      </c>
      <c r="G22" s="7">
        <v>3.1259999999999999</v>
      </c>
      <c r="H22" s="7">
        <v>0</v>
      </c>
      <c r="I22" s="7">
        <v>0</v>
      </c>
      <c r="J22" s="7">
        <v>2.1141779999999994</v>
      </c>
      <c r="K22" s="7">
        <v>55.105753385165151</v>
      </c>
      <c r="L22" s="7">
        <v>6.146456615898666</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5379F7-D4E7-4A0C-87B7-761C7833B493}">
  <ds:schemaRefs>
    <ds:schemaRef ds:uri="http://schemas.microsoft.com/sharepoint/v3/contenttype/forms"/>
  </ds:schemaRefs>
</ds:datastoreItem>
</file>

<file path=customXml/itemProps2.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